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DieseArbeitsmappe"/>
  <mc:AlternateContent xmlns:mc="http://schemas.openxmlformats.org/markup-compatibility/2006">
    <mc:Choice Requires="x15">
      <x15ac:absPath xmlns:x15ac="http://schemas.microsoft.com/office/spreadsheetml/2010/11/ac" url="https://dechemade.sharepoint.com/sites/GreeN_H2/Freigegebene Dokumente/Ordnerstruktur/5 Arbeiten im Projekt/Water Management/water infrastructure/Southern water management/ScenariosSpreadsheet/"/>
    </mc:Choice>
  </mc:AlternateContent>
  <xr:revisionPtr revIDLastSave="900" documentId="13_ncr:1_{7F986F05-BACD-466E-8B88-0962B3A46F30}" xr6:coauthVersionLast="47" xr6:coauthVersionMax="47" xr10:uidLastSave="{2088B6F0-3ACF-4701-911D-C6234E08C9C5}"/>
  <bookViews>
    <workbookView xWindow="-120" yWindow="-120" windowWidth="29040" windowHeight="15720" tabRatio="1000" firstSheet="3" activeTab="11" xr2:uid="{C1FF6C25-667E-4150-951D-E62B0A322433}"/>
  </bookViews>
  <sheets>
    <sheet name="0. Imprint" sheetId="5" r:id="rId1"/>
    <sheet name="1. Explanation and Instructions" sheetId="17" r:id="rId2"/>
    <sheet name="2. Control Panel - Lüderitz" sheetId="1" r:id="rId3"/>
    <sheet name="3. Lüderitz Industry" sheetId="3" r:id="rId4"/>
    <sheet name="4. Lüderitz Population Calc" sheetId="9" r:id="rId5"/>
    <sheet name="5. Lüderitz Domestic Demand" sheetId="10" r:id="rId6"/>
    <sheet name="6. Lüderitz Industrial Demand" sheetId="11" r:id="rId7"/>
    <sheet name="7. Lüderitz Scenarios" sheetId="7" r:id="rId8"/>
    <sheet name="8. Control Panel - Aus" sheetId="12" r:id="rId9"/>
    <sheet name="9. Aus Pop &amp; Domestic Demand" sheetId="13" r:id="rId10"/>
    <sheet name="10. Aus Total Demand" sheetId="16" r:id="rId11"/>
    <sheet name="11. Aus Background Data" sheetId="4" r:id="rId12"/>
  </sheets>
  <definedNames>
    <definedName name="_2023_Aus_Population_Growth_Rate">'8. Control Panel - Aus'!$D$9</definedName>
    <definedName name="Aus_2023Census_Pop">'8. Control Panel - Aus'!$D$11</definedName>
    <definedName name="Aus_Domestic">'8. Control Panel - Aus'!$J$12</definedName>
    <definedName name="Aus_Domestic_water_demand_per_person__m3_person_year">'8. Control Panel - Aus'!$J$16</definedName>
    <definedName name="Aus_NonDomestic">'8. Control Panel - Aus'!$J$11</definedName>
    <definedName name="Avg_HouseholdSize">'2. Control Panel - Lüderitz'!$G$10</definedName>
    <definedName name="CensusPop">'2. Control Panel - Lüderitz'!$D$12</definedName>
    <definedName name="Current_Demand">'2. Control Panel - Lüderitz'!$J$10</definedName>
    <definedName name="DomesticDemandperCapita">'2. Control Panel - Lüderitz'!$J$12</definedName>
    <definedName name="DomesticDemandperCapita_L">'2. Control Panel - Lüderitz'!$J$11</definedName>
    <definedName name="Household_Size">'2. Control Panel - Lüderitz'!$D$13</definedName>
    <definedName name="KP_Yield">'2. Control Panel - Lüderitz'!$J$22</definedName>
    <definedName name="Lüderitz_PopulationGrowthRate">'2. Control Panel - Lüderitz'!$D$10</definedName>
    <definedName name="Percent_1_Aus">'8. Control Panel - Aus'!$M$9</definedName>
    <definedName name="Percent_10_Aus">'8. Control Panel - Aus'!$M$12</definedName>
    <definedName name="Percent_2_Aus">'8. Control Panel - Aus'!$M$10</definedName>
    <definedName name="Percent_5_Aus">'8. Control Panel - Aus'!$M$11</definedName>
    <definedName name="RelocationFactor">'2. Control Panel - Lüderitz'!$G$11</definedName>
    <definedName name="Resident__Job_Multiplier_wO_H2_worker">'2. Control Panel - Lüderitz'!$G$13</definedName>
    <definedName name="Resident_Job_Multiplier">'2. Control Panel - Lüderitz'!$G$12</definedName>
    <definedName name="ScenarioStart">'2. Control Panel - Lüderitz'!$G$14</definedName>
    <definedName name="Start_Aus_Scenarios">'8. Control Panel - Aus'!$G$13</definedName>
    <definedName name="Starting_Pop_Aus_Scenarios">'8. Control Panel - Aus'!$G$14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1" l="1"/>
  <c r="G13" i="1" s="1"/>
  <c r="E9" i="9"/>
  <c r="H32" i="16"/>
  <c r="H31" i="16"/>
  <c r="G12" i="1"/>
  <c r="E23" i="13"/>
  <c r="E24" i="13"/>
  <c r="F24" i="13"/>
  <c r="F23" i="13"/>
  <c r="G23" i="13"/>
  <c r="G24" i="13"/>
  <c r="H24" i="13"/>
  <c r="N30" i="16"/>
  <c r="N31" i="16" s="1"/>
  <c r="W34" i="7"/>
  <c r="X34" i="7"/>
  <c r="W35" i="7"/>
  <c r="X35" i="7"/>
  <c r="W36" i="7"/>
  <c r="X36" i="7"/>
  <c r="W37" i="7"/>
  <c r="X37" i="7"/>
  <c r="W38" i="7"/>
  <c r="X38" i="7"/>
  <c r="W39" i="7"/>
  <c r="X39" i="7"/>
  <c r="W40" i="7"/>
  <c r="X40" i="7"/>
  <c r="W41" i="7"/>
  <c r="X41" i="7"/>
  <c r="W42" i="7"/>
  <c r="X42" i="7"/>
  <c r="W43" i="7"/>
  <c r="X43" i="7"/>
  <c r="W44" i="7"/>
  <c r="X44" i="7"/>
  <c r="W45" i="7"/>
  <c r="X45" i="7"/>
  <c r="W46" i="7"/>
  <c r="X46" i="7"/>
  <c r="W47" i="7"/>
  <c r="X47" i="7"/>
  <c r="W48" i="7"/>
  <c r="X48" i="7"/>
  <c r="W49" i="7"/>
  <c r="X49" i="7"/>
  <c r="W50" i="7"/>
  <c r="X50" i="7"/>
  <c r="W51" i="7"/>
  <c r="X51" i="7"/>
  <c r="W52" i="7"/>
  <c r="X52" i="7"/>
  <c r="W53" i="7"/>
  <c r="X53" i="7"/>
  <c r="W54" i="7"/>
  <c r="X54" i="7"/>
  <c r="W55" i="7"/>
  <c r="X55" i="7"/>
  <c r="W56" i="7"/>
  <c r="X56" i="7"/>
  <c r="W57" i="7"/>
  <c r="X57" i="7"/>
  <c r="W58" i="7"/>
  <c r="X58" i="7"/>
  <c r="W59" i="7"/>
  <c r="X59" i="7"/>
  <c r="B65" i="7" l="1"/>
  <c r="C65" i="7" s="1"/>
  <c r="O20" i="3"/>
  <c r="P20" i="3" s="1"/>
  <c r="R20" i="3"/>
  <c r="O21" i="3"/>
  <c r="P21" i="3" s="1"/>
  <c r="R21" i="3"/>
  <c r="O22" i="3"/>
  <c r="P22" i="3" s="1"/>
  <c r="R22" i="3"/>
  <c r="C26" i="3"/>
  <c r="D26" i="3"/>
  <c r="E26" i="3" s="1"/>
  <c r="F26" i="3"/>
  <c r="D27" i="3"/>
  <c r="E27" i="3" s="1"/>
  <c r="F27" i="3"/>
  <c r="D28" i="3"/>
  <c r="E28" i="3" s="1"/>
  <c r="F28" i="3"/>
  <c r="C40" i="3"/>
  <c r="C41" i="3"/>
  <c r="B66" i="7" l="1"/>
  <c r="C66" i="7"/>
  <c r="D65" i="7"/>
  <c r="L33" i="4"/>
  <c r="L32" i="4"/>
  <c r="L31" i="4"/>
  <c r="L30" i="4"/>
  <c r="L29" i="4"/>
  <c r="E39" i="4"/>
  <c r="B67" i="7" l="1"/>
  <c r="D66" i="7"/>
  <c r="H8" i="4"/>
  <c r="C67" i="7" l="1"/>
  <c r="D67" i="7"/>
  <c r="B68" i="7"/>
  <c r="J12" i="1"/>
  <c r="C68" i="7" l="1"/>
  <c r="B69" i="7"/>
  <c r="D68" i="7"/>
  <c r="C20" i="16"/>
  <c r="L9" i="4"/>
  <c r="L10" i="4"/>
  <c r="L11" i="4"/>
  <c r="L12" i="4"/>
  <c r="L13" i="4"/>
  <c r="L14" i="4"/>
  <c r="L15" i="4"/>
  <c r="L16" i="4"/>
  <c r="L17" i="4"/>
  <c r="L18" i="4"/>
  <c r="L19" i="4"/>
  <c r="L20" i="4"/>
  <c r="L21" i="4"/>
  <c r="L22" i="4"/>
  <c r="L23" i="4"/>
  <c r="L24" i="4"/>
  <c r="L25" i="4"/>
  <c r="L26" i="4"/>
  <c r="L27" i="4"/>
  <c r="L28" i="4"/>
  <c r="K8" i="4"/>
  <c r="K9" i="4" s="1"/>
  <c r="K10" i="4" s="1"/>
  <c r="K11" i="4" s="1"/>
  <c r="K12" i="4" s="1"/>
  <c r="K13" i="4" s="1"/>
  <c r="K14" i="4" s="1"/>
  <c r="K15" i="4" s="1"/>
  <c r="K16" i="4" s="1"/>
  <c r="K17" i="4" s="1"/>
  <c r="K18" i="4" s="1"/>
  <c r="K19" i="4" s="1"/>
  <c r="K20" i="4" s="1"/>
  <c r="K21" i="4" s="1"/>
  <c r="K22" i="4" s="1"/>
  <c r="K23" i="4" s="1"/>
  <c r="K24" i="4" s="1"/>
  <c r="K25" i="4" s="1"/>
  <c r="K26" i="4" s="1"/>
  <c r="K27" i="4" s="1"/>
  <c r="K28" i="4" s="1"/>
  <c r="K29" i="4" s="1"/>
  <c r="K30" i="4" s="1"/>
  <c r="K31" i="4" s="1"/>
  <c r="K32" i="4" s="1"/>
  <c r="K33" i="4" s="1"/>
  <c r="L8" i="4"/>
  <c r="C69" i="7" l="1"/>
  <c r="D69" i="7"/>
  <c r="B70" i="7"/>
  <c r="J15" i="12"/>
  <c r="J16" i="12" s="1"/>
  <c r="C32" i="11"/>
  <c r="Q14" i="3"/>
  <c r="J9" i="12"/>
  <c r="H9" i="4"/>
  <c r="I9" i="4" s="1"/>
  <c r="B71" i="7" l="1"/>
  <c r="D70" i="7"/>
  <c r="C70" i="7"/>
  <c r="J11" i="12"/>
  <c r="D30" i="16" s="1"/>
  <c r="I8" i="4"/>
  <c r="J12" i="12" s="1"/>
  <c r="J13" i="12" s="1"/>
  <c r="J14" i="12" s="1"/>
  <c r="C71" i="7" l="1"/>
  <c r="B72" i="7"/>
  <c r="D71" i="7"/>
  <c r="D31" i="16"/>
  <c r="D32" i="16"/>
  <c r="D33" i="16"/>
  <c r="D34" i="16"/>
  <c r="D35" i="16"/>
  <c r="D36" i="16"/>
  <c r="D37" i="16"/>
  <c r="D38" i="16"/>
  <c r="D39" i="16"/>
  <c r="D40" i="16"/>
  <c r="D41" i="16"/>
  <c r="D42" i="16"/>
  <c r="D43" i="16"/>
  <c r="D44" i="16"/>
  <c r="D45" i="16"/>
  <c r="D46" i="16"/>
  <c r="D47" i="16"/>
  <c r="D48" i="16"/>
  <c r="D49" i="16"/>
  <c r="D50" i="16"/>
  <c r="D51" i="16"/>
  <c r="D52" i="16"/>
  <c r="D53" i="16"/>
  <c r="D54" i="16"/>
  <c r="D55" i="16"/>
  <c r="B30" i="16"/>
  <c r="B31" i="16" s="1"/>
  <c r="B15" i="16"/>
  <c r="B14" i="16"/>
  <c r="E13" i="16"/>
  <c r="B13" i="16"/>
  <c r="E12" i="16"/>
  <c r="B12" i="16"/>
  <c r="E11" i="16"/>
  <c r="B11" i="16"/>
  <c r="E10" i="16"/>
  <c r="B10" i="16"/>
  <c r="E9" i="16"/>
  <c r="B9" i="16"/>
  <c r="B23" i="13"/>
  <c r="C23" i="13"/>
  <c r="N23" i="13" s="1"/>
  <c r="H30" i="16" s="1"/>
  <c r="C72" i="7" l="1"/>
  <c r="B73" i="7"/>
  <c r="D72" i="7"/>
  <c r="J23" i="13"/>
  <c r="O23" i="13" s="1"/>
  <c r="C24" i="13"/>
  <c r="K24" i="13" s="1"/>
  <c r="H23" i="13"/>
  <c r="F30" i="16"/>
  <c r="F31" i="16"/>
  <c r="B32" i="16"/>
  <c r="F32" i="16" s="1"/>
  <c r="E40" i="4"/>
  <c r="E41" i="4" s="1"/>
  <c r="N32" i="16" s="1"/>
  <c r="N33" i="16" s="1"/>
  <c r="N34" i="16" s="1"/>
  <c r="N35" i="16" s="1"/>
  <c r="N36" i="16" s="1"/>
  <c r="N37" i="16" s="1"/>
  <c r="N38" i="16" s="1"/>
  <c r="N39" i="16" s="1"/>
  <c r="N40" i="16" s="1"/>
  <c r="N41" i="16" s="1"/>
  <c r="N42" i="16" s="1"/>
  <c r="N43" i="16" s="1"/>
  <c r="N44" i="16" s="1"/>
  <c r="N45" i="16" s="1"/>
  <c r="N46" i="16" s="1"/>
  <c r="N47" i="16" s="1"/>
  <c r="N48" i="16" s="1"/>
  <c r="N49" i="16" s="1"/>
  <c r="N50" i="16" s="1"/>
  <c r="N51" i="16" s="1"/>
  <c r="N52" i="16" s="1"/>
  <c r="N53" i="16" s="1"/>
  <c r="N54" i="16" s="1"/>
  <c r="N55" i="16" s="1"/>
  <c r="N56" i="16" s="1"/>
  <c r="N57" i="16" s="1"/>
  <c r="L23" i="13"/>
  <c r="K23" i="13"/>
  <c r="I30" i="16" l="1"/>
  <c r="D73" i="7"/>
  <c r="C73" i="7"/>
  <c r="B74" i="7"/>
  <c r="J24" i="13"/>
  <c r="N24" i="13"/>
  <c r="C25" i="13"/>
  <c r="N25" i="13" s="1"/>
  <c r="L24" i="13"/>
  <c r="B33" i="16"/>
  <c r="E33" i="16" s="1"/>
  <c r="F33" i="16" s="1"/>
  <c r="C26" i="13" l="1"/>
  <c r="N26" i="13" s="1"/>
  <c r="H33" i="16" s="1"/>
  <c r="B75" i="7"/>
  <c r="C74" i="7"/>
  <c r="D74" i="7"/>
  <c r="B34" i="16"/>
  <c r="E34" i="16" s="1"/>
  <c r="F34" i="16" s="1"/>
  <c r="C27" i="13" l="1"/>
  <c r="N27" i="13" s="1"/>
  <c r="H34" i="16" s="1"/>
  <c r="D75" i="7"/>
  <c r="C75" i="7"/>
  <c r="B76" i="7"/>
  <c r="B35" i="16"/>
  <c r="E35" i="16" s="1"/>
  <c r="F35" i="16" s="1"/>
  <c r="C28" i="13" l="1"/>
  <c r="N28" i="13" s="1"/>
  <c r="H35" i="16" s="1"/>
  <c r="B77" i="7"/>
  <c r="C76" i="7"/>
  <c r="D76" i="7"/>
  <c r="C29" i="13"/>
  <c r="N29" i="13" s="1"/>
  <c r="H36" i="16" s="1"/>
  <c r="B36" i="16"/>
  <c r="E36" i="16" s="1"/>
  <c r="F36" i="16" s="1"/>
  <c r="C77" i="7" l="1"/>
  <c r="B78" i="7"/>
  <c r="D77" i="7"/>
  <c r="C30" i="13"/>
  <c r="N30" i="13" s="1"/>
  <c r="H37" i="16" s="1"/>
  <c r="B37" i="16"/>
  <c r="E37" i="16" s="1"/>
  <c r="F37" i="16" s="1"/>
  <c r="B79" i="7" l="1"/>
  <c r="D78" i="7"/>
  <c r="C78" i="7"/>
  <c r="C31" i="13"/>
  <c r="N31" i="13" s="1"/>
  <c r="H38" i="16" s="1"/>
  <c r="B38" i="16"/>
  <c r="E38" i="16" s="1"/>
  <c r="F38" i="16" s="1"/>
  <c r="C79" i="7" l="1"/>
  <c r="D79" i="7"/>
  <c r="B80" i="7"/>
  <c r="C32" i="13"/>
  <c r="N32" i="13" s="1"/>
  <c r="H39" i="16" s="1"/>
  <c r="B39" i="16"/>
  <c r="E39" i="16" s="1"/>
  <c r="F39" i="16" s="1"/>
  <c r="B81" i="7" l="1"/>
  <c r="C80" i="7"/>
  <c r="D80" i="7"/>
  <c r="C33" i="13"/>
  <c r="N33" i="13" s="1"/>
  <c r="H40" i="16" s="1"/>
  <c r="B40" i="16"/>
  <c r="E40" i="16" s="1"/>
  <c r="F40" i="16" s="1"/>
  <c r="C81" i="7" l="1"/>
  <c r="D81" i="7"/>
  <c r="B82" i="7"/>
  <c r="C34" i="13"/>
  <c r="N34" i="13" s="1"/>
  <c r="H41" i="16" s="1"/>
  <c r="B41" i="16"/>
  <c r="E41" i="16" s="1"/>
  <c r="F41" i="16" s="1"/>
  <c r="B83" i="7" l="1"/>
  <c r="C82" i="7"/>
  <c r="D82" i="7"/>
  <c r="C35" i="13"/>
  <c r="N35" i="13" s="1"/>
  <c r="H42" i="16" s="1"/>
  <c r="B42" i="16"/>
  <c r="E42" i="16" s="1"/>
  <c r="F42" i="16" s="1"/>
  <c r="C83" i="7" l="1"/>
  <c r="D83" i="7"/>
  <c r="B84" i="7"/>
  <c r="C36" i="13"/>
  <c r="N36" i="13" s="1"/>
  <c r="H43" i="16" s="1"/>
  <c r="B43" i="16"/>
  <c r="E43" i="16" s="1"/>
  <c r="F43" i="16" s="1"/>
  <c r="B85" i="7" l="1"/>
  <c r="C84" i="7"/>
  <c r="D84" i="7"/>
  <c r="C37" i="13"/>
  <c r="N37" i="13" s="1"/>
  <c r="H44" i="16" s="1"/>
  <c r="B44" i="16"/>
  <c r="E44" i="16" s="1"/>
  <c r="F44" i="16" s="1"/>
  <c r="C85" i="7" l="1"/>
  <c r="D85" i="7"/>
  <c r="B86" i="7"/>
  <c r="C38" i="13"/>
  <c r="N38" i="13" s="1"/>
  <c r="H45" i="16" s="1"/>
  <c r="B45" i="16"/>
  <c r="E45" i="16" s="1"/>
  <c r="F45" i="16" s="1"/>
  <c r="B87" i="7" l="1"/>
  <c r="D86" i="7"/>
  <c r="C86" i="7"/>
  <c r="C39" i="13"/>
  <c r="N39" i="13" s="1"/>
  <c r="H46" i="16" s="1"/>
  <c r="B46" i="16"/>
  <c r="E46" i="16" s="1"/>
  <c r="F46" i="16" s="1"/>
  <c r="C87" i="7" l="1"/>
  <c r="D87" i="7"/>
  <c r="B88" i="7"/>
  <c r="C40" i="13"/>
  <c r="N40" i="13" s="1"/>
  <c r="H47" i="16" s="1"/>
  <c r="B47" i="16"/>
  <c r="E47" i="16" s="1"/>
  <c r="F47" i="16" s="1"/>
  <c r="D88" i="7" l="1"/>
  <c r="C88" i="7"/>
  <c r="C41" i="13"/>
  <c r="N41" i="13" s="1"/>
  <c r="H48" i="16" s="1"/>
  <c r="B48" i="16"/>
  <c r="E48" i="16" s="1"/>
  <c r="F48" i="16" s="1"/>
  <c r="C42" i="13" l="1"/>
  <c r="N42" i="13" s="1"/>
  <c r="H49" i="16" s="1"/>
  <c r="B49" i="16"/>
  <c r="E49" i="16" s="1"/>
  <c r="F49" i="16" s="1"/>
  <c r="C43" i="13" l="1"/>
  <c r="N43" i="13" s="1"/>
  <c r="H50" i="16" s="1"/>
  <c r="B50" i="16"/>
  <c r="E50" i="16" s="1"/>
  <c r="F50" i="16" s="1"/>
  <c r="C44" i="13" l="1"/>
  <c r="N44" i="13" s="1"/>
  <c r="H51" i="16" s="1"/>
  <c r="B51" i="16"/>
  <c r="E51" i="16" s="1"/>
  <c r="F51" i="16" s="1"/>
  <c r="C45" i="13" l="1"/>
  <c r="N45" i="13" s="1"/>
  <c r="H52" i="16" s="1"/>
  <c r="B52" i="16"/>
  <c r="E52" i="16" s="1"/>
  <c r="F52" i="16" s="1"/>
  <c r="C46" i="13" l="1"/>
  <c r="N46" i="13" s="1"/>
  <c r="H53" i="16" s="1"/>
  <c r="B53" i="16"/>
  <c r="E53" i="16" s="1"/>
  <c r="F53" i="16" s="1"/>
  <c r="C47" i="13" l="1"/>
  <c r="N47" i="13" s="1"/>
  <c r="H54" i="16" s="1"/>
  <c r="B54" i="16"/>
  <c r="E54" i="16" s="1"/>
  <c r="F54" i="16" s="1"/>
  <c r="C48" i="13" l="1"/>
  <c r="N48" i="13" s="1"/>
  <c r="H55" i="16" s="1"/>
  <c r="B55" i="16"/>
  <c r="E55" i="16" s="1"/>
  <c r="F55" i="16" s="1"/>
  <c r="E13" i="13" l="1"/>
  <c r="E12" i="13"/>
  <c r="E11" i="13"/>
  <c r="E10" i="13"/>
  <c r="E9" i="13"/>
  <c r="B9" i="13"/>
  <c r="B15" i="13"/>
  <c r="B14" i="13"/>
  <c r="B13" i="13"/>
  <c r="B12" i="13"/>
  <c r="B11" i="13"/>
  <c r="B10" i="13"/>
  <c r="J22" i="12"/>
  <c r="J10" i="12"/>
  <c r="D12" i="12"/>
  <c r="G9" i="12" s="1"/>
  <c r="M30" i="4" l="1"/>
  <c r="N30" i="4" s="1"/>
  <c r="M33" i="4"/>
  <c r="N33" i="4" s="1"/>
  <c r="M32" i="4"/>
  <c r="N32" i="4" s="1"/>
  <c r="M29" i="4"/>
  <c r="N29" i="4" s="1"/>
  <c r="M31" i="4"/>
  <c r="N31" i="4" s="1"/>
  <c r="M8" i="4"/>
  <c r="N8" i="4" s="1"/>
  <c r="M15" i="4"/>
  <c r="N15" i="4" s="1"/>
  <c r="M23" i="4"/>
  <c r="N23" i="4" s="1"/>
  <c r="M17" i="4"/>
  <c r="N17" i="4" s="1"/>
  <c r="M10" i="4"/>
  <c r="N10" i="4" s="1"/>
  <c r="M18" i="4"/>
  <c r="N18" i="4" s="1"/>
  <c r="M26" i="4"/>
  <c r="N26" i="4" s="1"/>
  <c r="M11" i="4"/>
  <c r="N11" i="4" s="1"/>
  <c r="M19" i="4"/>
  <c r="N19" i="4" s="1"/>
  <c r="M27" i="4"/>
  <c r="N27" i="4" s="1"/>
  <c r="M12" i="4"/>
  <c r="N12" i="4" s="1"/>
  <c r="M20" i="4"/>
  <c r="N20" i="4" s="1"/>
  <c r="M28" i="4"/>
  <c r="N28" i="4" s="1"/>
  <c r="M13" i="4"/>
  <c r="N13" i="4" s="1"/>
  <c r="M21" i="4"/>
  <c r="N21" i="4" s="1"/>
  <c r="M22" i="4"/>
  <c r="N22" i="4" s="1"/>
  <c r="M16" i="4"/>
  <c r="N16" i="4" s="1"/>
  <c r="M24" i="4"/>
  <c r="N24" i="4" s="1"/>
  <c r="M25" i="4"/>
  <c r="N25" i="4" s="1"/>
  <c r="M9" i="4"/>
  <c r="N9" i="4" s="1"/>
  <c r="M14" i="4"/>
  <c r="N14" i="4" s="1"/>
  <c r="Q24" i="13"/>
  <c r="K31" i="16" s="1"/>
  <c r="P23" i="13"/>
  <c r="J30" i="16" s="1"/>
  <c r="Q23" i="13"/>
  <c r="K30" i="16" s="1"/>
  <c r="P24" i="13"/>
  <c r="J31" i="16" s="1"/>
  <c r="O24" i="13"/>
  <c r="I31" i="16" s="1"/>
  <c r="B24" i="13"/>
  <c r="H65" i="7"/>
  <c r="H66" i="7" s="1"/>
  <c r="H67" i="7" s="1"/>
  <c r="H68" i="7" s="1"/>
  <c r="H69" i="7" s="1"/>
  <c r="H70" i="7" s="1"/>
  <c r="H71" i="7" s="1"/>
  <c r="H72" i="7" s="1"/>
  <c r="H73" i="7" s="1"/>
  <c r="H74" i="7" s="1"/>
  <c r="H75" i="7" s="1"/>
  <c r="H76" i="7" s="1"/>
  <c r="H77" i="7" s="1"/>
  <c r="H78" i="7" s="1"/>
  <c r="H79" i="7" s="1"/>
  <c r="H80" i="7" s="1"/>
  <c r="H81" i="7" s="1"/>
  <c r="H82" i="7" s="1"/>
  <c r="H83" i="7" s="1"/>
  <c r="H84" i="7" s="1"/>
  <c r="H85" i="7" s="1"/>
  <c r="H86" i="7" s="1"/>
  <c r="H87" i="7" s="1"/>
  <c r="H88" i="7" s="1"/>
  <c r="M34" i="7"/>
  <c r="M35" i="7" s="1"/>
  <c r="M36" i="7" s="1"/>
  <c r="M37" i="7" s="1"/>
  <c r="M38" i="7" s="1"/>
  <c r="M39" i="7" s="1"/>
  <c r="M40" i="7" s="1"/>
  <c r="M41" i="7" s="1"/>
  <c r="M42" i="7" s="1"/>
  <c r="M43" i="7" s="1"/>
  <c r="M44" i="7" s="1"/>
  <c r="M45" i="7" s="1"/>
  <c r="M46" i="7" s="1"/>
  <c r="M47" i="7" s="1"/>
  <c r="M48" i="7" s="1"/>
  <c r="M49" i="7" s="1"/>
  <c r="M50" i="7" s="1"/>
  <c r="M51" i="7" s="1"/>
  <c r="M52" i="7" s="1"/>
  <c r="M53" i="7" s="1"/>
  <c r="M54" i="7" s="1"/>
  <c r="M55" i="7" s="1"/>
  <c r="M56" i="7" s="1"/>
  <c r="M57" i="7" s="1"/>
  <c r="M58" i="7" s="1"/>
  <c r="M59" i="7" s="1"/>
  <c r="B34" i="7"/>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15" i="9"/>
  <c r="B14" i="9"/>
  <c r="B13" i="9"/>
  <c r="B12" i="9"/>
  <c r="B11" i="9"/>
  <c r="B10" i="9"/>
  <c r="B9" i="9"/>
  <c r="E10" i="11"/>
  <c r="B10" i="11"/>
  <c r="E9" i="11"/>
  <c r="B9" i="11"/>
  <c r="B31" i="9"/>
  <c r="N31" i="9" s="1"/>
  <c r="N32" i="10"/>
  <c r="N33" i="10" s="1"/>
  <c r="N34" i="10" s="1"/>
  <c r="N35" i="10" s="1"/>
  <c r="N36" i="10" s="1"/>
  <c r="N37" i="10" s="1"/>
  <c r="N38" i="10" s="1"/>
  <c r="N39" i="10" s="1"/>
  <c r="N40" i="10" s="1"/>
  <c r="N41" i="10" s="1"/>
  <c r="N42" i="10" s="1"/>
  <c r="N43" i="10" s="1"/>
  <c r="N44" i="10" s="1"/>
  <c r="N45" i="10" s="1"/>
  <c r="N46" i="10" s="1"/>
  <c r="N47" i="10" s="1"/>
  <c r="N48" i="10" s="1"/>
  <c r="N49" i="10" s="1"/>
  <c r="N50" i="10" s="1"/>
  <c r="N51" i="10" s="1"/>
  <c r="N52" i="10" s="1"/>
  <c r="N53" i="10" s="1"/>
  <c r="N54" i="10" s="1"/>
  <c r="N55" i="10" s="1"/>
  <c r="N56" i="10" s="1"/>
  <c r="N57" i="10" s="1"/>
  <c r="B32" i="10"/>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32" i="11"/>
  <c r="L32" i="11" s="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C33" i="1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Q13" i="3"/>
  <c r="Q12" i="3"/>
  <c r="E13" i="10"/>
  <c r="B13" i="10"/>
  <c r="E12" i="10"/>
  <c r="B12" i="10"/>
  <c r="E10" i="10"/>
  <c r="B11" i="10"/>
  <c r="B10" i="10"/>
  <c r="D32" i="10"/>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E13" i="9"/>
  <c r="E11" i="9"/>
  <c r="E10" i="9"/>
  <c r="B25" i="13" l="1"/>
  <c r="E12" i="9"/>
  <c r="C59" i="7"/>
  <c r="E121" i="7" s="1"/>
  <c r="C55" i="7"/>
  <c r="E117" i="7" s="1"/>
  <c r="C38" i="7"/>
  <c r="E100" i="7" s="1"/>
  <c r="C54" i="7"/>
  <c r="E116" i="7" s="1"/>
  <c r="C53" i="7"/>
  <c r="E115" i="7" s="1"/>
  <c r="C52" i="7"/>
  <c r="E114" i="7" s="1"/>
  <c r="C43" i="7"/>
  <c r="E105" i="7" s="1"/>
  <c r="C42" i="7"/>
  <c r="E104" i="7" s="1"/>
  <c r="C57" i="7"/>
  <c r="E119" i="7" s="1"/>
  <c r="C56" i="7"/>
  <c r="E118" i="7" s="1"/>
  <c r="C51" i="7"/>
  <c r="E113" i="7" s="1"/>
  <c r="C50" i="7"/>
  <c r="E112" i="7" s="1"/>
  <c r="C41" i="7"/>
  <c r="E103" i="7" s="1"/>
  <c r="C40" i="7"/>
  <c r="E102" i="7" s="1"/>
  <c r="C39" i="7"/>
  <c r="E101" i="7" s="1"/>
  <c r="C44" i="7"/>
  <c r="E106" i="7" s="1"/>
  <c r="C49" i="7"/>
  <c r="E111" i="7" s="1"/>
  <c r="C37" i="7"/>
  <c r="E99" i="7" s="1"/>
  <c r="C34" i="7"/>
  <c r="E96" i="7" s="1"/>
  <c r="C48" i="7"/>
  <c r="E110" i="7" s="1"/>
  <c r="C36" i="7"/>
  <c r="E98" i="7" s="1"/>
  <c r="C47" i="7"/>
  <c r="E109" i="7" s="1"/>
  <c r="C35" i="7"/>
  <c r="E97" i="7" s="1"/>
  <c r="C58" i="7"/>
  <c r="E120" i="7" s="1"/>
  <c r="C46" i="7"/>
  <c r="E108" i="7" s="1"/>
  <c r="C45" i="7"/>
  <c r="E107" i="7" s="1"/>
  <c r="O32" i="11"/>
  <c r="P32" i="11"/>
  <c r="M32" i="11"/>
  <c r="B33" i="11"/>
  <c r="N32" i="11"/>
  <c r="H32" i="11"/>
  <c r="G32" i="11"/>
  <c r="K32" i="11"/>
  <c r="J32" i="11"/>
  <c r="I32" i="11"/>
  <c r="E32" i="11"/>
  <c r="B26" i="13" l="1"/>
  <c r="E33" i="11"/>
  <c r="P33" i="11"/>
  <c r="O33" i="11"/>
  <c r="B34" i="11"/>
  <c r="P34" i="11" s="1"/>
  <c r="M33" i="11"/>
  <c r="G33" i="11"/>
  <c r="L33" i="11"/>
  <c r="I33" i="11"/>
  <c r="H33" i="11"/>
  <c r="J33" i="11"/>
  <c r="N33" i="11"/>
  <c r="K33" i="11"/>
  <c r="B27" i="13" l="1"/>
  <c r="B35" i="11"/>
  <c r="P35" i="11" s="1"/>
  <c r="N34" i="11"/>
  <c r="H34" i="11"/>
  <c r="M34" i="11"/>
  <c r="G34" i="11"/>
  <c r="L34" i="11"/>
  <c r="K34" i="11"/>
  <c r="I34" i="11"/>
  <c r="J34" i="11"/>
  <c r="O34" i="11"/>
  <c r="E34" i="11"/>
  <c r="B28" i="13" l="1"/>
  <c r="B36" i="11"/>
  <c r="P36" i="11" s="1"/>
  <c r="N35" i="11"/>
  <c r="H35" i="11"/>
  <c r="K35" i="11"/>
  <c r="J35" i="11"/>
  <c r="M35" i="11"/>
  <c r="I35" i="11"/>
  <c r="L35" i="11"/>
  <c r="G35" i="11"/>
  <c r="O35" i="11"/>
  <c r="E35" i="11"/>
  <c r="B29" i="13" l="1"/>
  <c r="B37" i="11"/>
  <c r="P37" i="11" s="1"/>
  <c r="I36" i="11"/>
  <c r="N36" i="11"/>
  <c r="H36" i="11"/>
  <c r="O36" i="11"/>
  <c r="J36" i="11"/>
  <c r="K36" i="11"/>
  <c r="G36" i="11"/>
  <c r="L36" i="11"/>
  <c r="M36" i="11"/>
  <c r="E36" i="11"/>
  <c r="B30" i="13" l="1"/>
  <c r="B38" i="11"/>
  <c r="P38" i="11" s="1"/>
  <c r="I37" i="11"/>
  <c r="N37" i="11"/>
  <c r="L37" i="11"/>
  <c r="J37" i="11"/>
  <c r="O37" i="11"/>
  <c r="K37" i="11"/>
  <c r="M37" i="11"/>
  <c r="G37" i="11"/>
  <c r="E37" i="11"/>
  <c r="B31" i="13" l="1"/>
  <c r="B39" i="11"/>
  <c r="P39" i="11" s="1"/>
  <c r="J38" i="11"/>
  <c r="I38" i="11"/>
  <c r="M38" i="11"/>
  <c r="G38" i="11"/>
  <c r="K38" i="11"/>
  <c r="L38" i="11"/>
  <c r="O38" i="11"/>
  <c r="N38" i="11"/>
  <c r="E38" i="11"/>
  <c r="B32" i="13" l="1"/>
  <c r="B40" i="11"/>
  <c r="P40" i="11" s="1"/>
  <c r="J39" i="11"/>
  <c r="M39" i="11"/>
  <c r="G39" i="11"/>
  <c r="O39" i="11"/>
  <c r="K39" i="11"/>
  <c r="L39" i="11"/>
  <c r="N39" i="11"/>
  <c r="I39" i="11"/>
  <c r="E39" i="11"/>
  <c r="B33" i="13" l="1"/>
  <c r="B41" i="11"/>
  <c r="P41" i="11" s="1"/>
  <c r="K40" i="11"/>
  <c r="J40" i="11"/>
  <c r="N40" i="11"/>
  <c r="L40" i="11"/>
  <c r="O40" i="11"/>
  <c r="M40" i="11"/>
  <c r="G40" i="11"/>
  <c r="I40" i="11"/>
  <c r="E40" i="11"/>
  <c r="B34" i="13" l="1"/>
  <c r="B42" i="11"/>
  <c r="P42" i="11" s="1"/>
  <c r="K41" i="11"/>
  <c r="N41" i="11"/>
  <c r="M41" i="11"/>
  <c r="G41" i="11"/>
  <c r="L41" i="11"/>
  <c r="O41" i="11"/>
  <c r="I41" i="11"/>
  <c r="J41" i="11"/>
  <c r="E41" i="11"/>
  <c r="B35" i="13" l="1"/>
  <c r="B43" i="11"/>
  <c r="P43" i="11" s="1"/>
  <c r="O42" i="11"/>
  <c r="K42" i="11"/>
  <c r="I42" i="11"/>
  <c r="L42" i="11"/>
  <c r="N42" i="11"/>
  <c r="M42" i="11"/>
  <c r="G42" i="11"/>
  <c r="J42" i="11"/>
  <c r="E42" i="11"/>
  <c r="B36" i="13" l="1"/>
  <c r="B44" i="11"/>
  <c r="P44" i="11" s="1"/>
  <c r="L43" i="11"/>
  <c r="O43" i="11"/>
  <c r="N43" i="11"/>
  <c r="M43" i="11"/>
  <c r="I43" i="11"/>
  <c r="G43" i="11"/>
  <c r="K43" i="11"/>
  <c r="J43" i="11"/>
  <c r="E43" i="11"/>
  <c r="B37" i="13" l="1"/>
  <c r="B45" i="11"/>
  <c r="P45" i="11" s="1"/>
  <c r="M44" i="11"/>
  <c r="G44" i="11"/>
  <c r="L44" i="11"/>
  <c r="O44" i="11"/>
  <c r="J44" i="11"/>
  <c r="N44" i="11"/>
  <c r="I44" i="11"/>
  <c r="K44" i="11"/>
  <c r="E44" i="11"/>
  <c r="B38" i="13" l="1"/>
  <c r="B46" i="11"/>
  <c r="P46" i="11" s="1"/>
  <c r="M45" i="11"/>
  <c r="G45" i="11"/>
  <c r="L45" i="11"/>
  <c r="O45" i="11"/>
  <c r="J45" i="11"/>
  <c r="I45" i="11"/>
  <c r="N45" i="11"/>
  <c r="K45" i="11"/>
  <c r="E45" i="11"/>
  <c r="B39" i="13" l="1"/>
  <c r="B47" i="11"/>
  <c r="P47" i="11" s="1"/>
  <c r="N46" i="11"/>
  <c r="M46" i="11"/>
  <c r="G46" i="11"/>
  <c r="K46" i="11"/>
  <c r="I46" i="11"/>
  <c r="J46" i="11"/>
  <c r="L46" i="11"/>
  <c r="O46" i="11"/>
  <c r="E46" i="11"/>
  <c r="B40" i="13" l="1"/>
  <c r="B48" i="11"/>
  <c r="P48" i="11" s="1"/>
  <c r="N47" i="11"/>
  <c r="K47" i="11"/>
  <c r="I47" i="11"/>
  <c r="J47" i="11"/>
  <c r="M47" i="11"/>
  <c r="G47" i="11"/>
  <c r="L47" i="11"/>
  <c r="O47" i="11"/>
  <c r="E47" i="11"/>
  <c r="B41" i="13" l="1"/>
  <c r="B49" i="11"/>
  <c r="P49" i="11" s="1"/>
  <c r="I48" i="11"/>
  <c r="N48" i="11"/>
  <c r="O48" i="11"/>
  <c r="K48" i="11"/>
  <c r="J48" i="11"/>
  <c r="M48" i="11"/>
  <c r="G48" i="11"/>
  <c r="L48" i="11"/>
  <c r="E48" i="11"/>
  <c r="B42" i="13" l="1"/>
  <c r="B50" i="11"/>
  <c r="P50" i="11" s="1"/>
  <c r="I49" i="11"/>
  <c r="N49" i="11"/>
  <c r="L49" i="11"/>
  <c r="K49" i="11"/>
  <c r="O49" i="11"/>
  <c r="J49" i="11"/>
  <c r="M49" i="11"/>
  <c r="G49" i="11"/>
  <c r="E49" i="11"/>
  <c r="B43" i="13" l="1"/>
  <c r="B51" i="11"/>
  <c r="P51" i="11" s="1"/>
  <c r="J50" i="11"/>
  <c r="I50" i="11"/>
  <c r="M50" i="11"/>
  <c r="G50" i="11"/>
  <c r="L50" i="11"/>
  <c r="O50" i="11"/>
  <c r="K50" i="11"/>
  <c r="N50" i="11"/>
  <c r="E50" i="11"/>
  <c r="B44" i="13" l="1"/>
  <c r="B52" i="11"/>
  <c r="P52" i="11" s="1"/>
  <c r="J51" i="11"/>
  <c r="M51" i="11"/>
  <c r="G51" i="11"/>
  <c r="L51" i="11"/>
  <c r="O51" i="11"/>
  <c r="K51" i="11"/>
  <c r="I51" i="11"/>
  <c r="N51" i="11"/>
  <c r="E51" i="11"/>
  <c r="B45" i="13" l="1"/>
  <c r="B53" i="11"/>
  <c r="P53" i="11" s="1"/>
  <c r="K52" i="11"/>
  <c r="J52" i="11"/>
  <c r="N52" i="11"/>
  <c r="M52" i="11"/>
  <c r="G52" i="11"/>
  <c r="L52" i="11"/>
  <c r="O52" i="11"/>
  <c r="I52" i="11"/>
  <c r="E52" i="11"/>
  <c r="B46" i="13" l="1"/>
  <c r="B54" i="11"/>
  <c r="P54" i="11" s="1"/>
  <c r="K53" i="11"/>
  <c r="G53" i="11"/>
  <c r="O53" i="11"/>
  <c r="N53" i="11"/>
  <c r="M53" i="11"/>
  <c r="L53" i="11"/>
  <c r="I53" i="11"/>
  <c r="J53" i="11"/>
  <c r="E53" i="11"/>
  <c r="B47" i="13" l="1"/>
  <c r="B55" i="11"/>
  <c r="P55" i="11" s="1"/>
  <c r="O54" i="11"/>
  <c r="K54" i="11"/>
  <c r="I54" i="11"/>
  <c r="L54" i="11"/>
  <c r="M54" i="11"/>
  <c r="G54" i="11"/>
  <c r="N54" i="11"/>
  <c r="J54" i="11"/>
  <c r="E54" i="11"/>
  <c r="B48" i="13" l="1"/>
  <c r="B56" i="11"/>
  <c r="P56" i="11" s="1"/>
  <c r="L55" i="11"/>
  <c r="O55" i="11"/>
  <c r="I55" i="11"/>
  <c r="N55" i="11"/>
  <c r="G55" i="11"/>
  <c r="M55" i="11"/>
  <c r="K55" i="11"/>
  <c r="J55" i="11"/>
  <c r="E55" i="11"/>
  <c r="B57" i="11" l="1"/>
  <c r="P57" i="11" s="1"/>
  <c r="M56" i="11"/>
  <c r="G56" i="11"/>
  <c r="L56" i="11"/>
  <c r="O56" i="11"/>
  <c r="J56" i="11"/>
  <c r="N56" i="11"/>
  <c r="I56" i="11"/>
  <c r="K56" i="11"/>
  <c r="E56" i="11"/>
  <c r="E57" i="11" l="1"/>
  <c r="M57" i="11"/>
  <c r="G57" i="11"/>
  <c r="L57" i="11"/>
  <c r="O57" i="11"/>
  <c r="J57" i="11"/>
  <c r="N57" i="11"/>
  <c r="I57" i="11"/>
  <c r="K57" i="11"/>
  <c r="E15" i="16" l="1"/>
  <c r="E16" i="3"/>
  <c r="E17" i="3"/>
  <c r="E15" i="3"/>
  <c r="O14" i="3"/>
  <c r="O13" i="3"/>
  <c r="O12" i="3"/>
  <c r="C15" i="3"/>
  <c r="C31" i="9"/>
  <c r="C32" i="9" s="1"/>
  <c r="B32" i="9"/>
  <c r="E11" i="10"/>
  <c r="B33" i="9" l="1"/>
  <c r="N32" i="9"/>
  <c r="B34" i="9"/>
  <c r="Q34" i="9" s="1"/>
  <c r="E15" i="9"/>
  <c r="E15" i="13"/>
  <c r="H37" i="11"/>
  <c r="H38" i="11"/>
  <c r="H39" i="11"/>
  <c r="H40" i="11"/>
  <c r="H41" i="11"/>
  <c r="H42" i="11"/>
  <c r="H43" i="11"/>
  <c r="H44" i="11"/>
  <c r="H45" i="11"/>
  <c r="H46" i="11"/>
  <c r="H47" i="11"/>
  <c r="H48" i="11"/>
  <c r="H49" i="11"/>
  <c r="H50" i="11"/>
  <c r="H51" i="11"/>
  <c r="H52" i="11"/>
  <c r="H53" i="11"/>
  <c r="H54" i="11"/>
  <c r="H55" i="11"/>
  <c r="H56" i="11"/>
  <c r="H57" i="11"/>
  <c r="C32" i="10"/>
  <c r="F33" i="11"/>
  <c r="Q33" i="11" s="1"/>
  <c r="F45" i="11"/>
  <c r="F57" i="11"/>
  <c r="F34" i="11"/>
  <c r="F46" i="11"/>
  <c r="F32" i="11"/>
  <c r="F47" i="11"/>
  <c r="F35" i="11"/>
  <c r="F36" i="11"/>
  <c r="F37" i="11"/>
  <c r="F49" i="11"/>
  <c r="F38" i="11"/>
  <c r="F50" i="11"/>
  <c r="F39" i="11"/>
  <c r="F51" i="11"/>
  <c r="F40" i="11"/>
  <c r="F52" i="11"/>
  <c r="F55" i="11"/>
  <c r="F41" i="11"/>
  <c r="F53" i="11"/>
  <c r="F56" i="11"/>
  <c r="F48" i="11"/>
  <c r="F42" i="11"/>
  <c r="F54" i="11"/>
  <c r="F43" i="11"/>
  <c r="F44" i="11"/>
  <c r="AZ31" i="9"/>
  <c r="T32" i="10" s="1"/>
  <c r="AI31" i="9"/>
  <c r="AL31" i="9"/>
  <c r="AS31" i="9"/>
  <c r="L32" i="10" s="1"/>
  <c r="BA31" i="9"/>
  <c r="U32" i="10" s="1"/>
  <c r="AA32" i="9"/>
  <c r="AQ31" i="9"/>
  <c r="J32" i="10" s="1"/>
  <c r="AP31" i="9"/>
  <c r="I32" i="10" s="1"/>
  <c r="AW31" i="9"/>
  <c r="Q32" i="10" s="1"/>
  <c r="BB31" i="9"/>
  <c r="V32" i="10" s="1"/>
  <c r="AA31" i="9"/>
  <c r="AR31" i="9"/>
  <c r="K32" i="10" s="1"/>
  <c r="AO31" i="9"/>
  <c r="H32" i="10" s="1"/>
  <c r="AN31" i="9"/>
  <c r="G32" i="10" s="1"/>
  <c r="AX31" i="9"/>
  <c r="R32" i="10" s="1"/>
  <c r="AI33" i="9"/>
  <c r="AI32" i="9"/>
  <c r="AA33" i="9"/>
  <c r="AI34" i="9"/>
  <c r="AM31" i="9"/>
  <c r="AY31" i="9"/>
  <c r="S32" i="10" s="1"/>
  <c r="P32" i="9"/>
  <c r="O32" i="9"/>
  <c r="T33" i="9"/>
  <c r="T31" i="9"/>
  <c r="Q32" i="9"/>
  <c r="P33" i="9"/>
  <c r="T32" i="9"/>
  <c r="R34" i="9"/>
  <c r="L34" i="9"/>
  <c r="R33" i="9"/>
  <c r="Q31" i="9"/>
  <c r="P31" i="9"/>
  <c r="Q33" i="9"/>
  <c r="R32" i="9"/>
  <c r="K33" i="9"/>
  <c r="K32" i="9"/>
  <c r="R31" i="9"/>
  <c r="L33" i="9"/>
  <c r="S31" i="9"/>
  <c r="S33" i="9"/>
  <c r="S32" i="9"/>
  <c r="K31" i="9"/>
  <c r="O31" i="9"/>
  <c r="O33" i="9"/>
  <c r="K34" i="9"/>
  <c r="L31" i="9"/>
  <c r="L32" i="9"/>
  <c r="M34" i="9"/>
  <c r="M31" i="9"/>
  <c r="M33" i="9"/>
  <c r="M32" i="9"/>
  <c r="E31" i="9"/>
  <c r="F32" i="9"/>
  <c r="H31" i="9"/>
  <c r="I34" i="9"/>
  <c r="F31" i="9"/>
  <c r="I31" i="9"/>
  <c r="I33" i="9"/>
  <c r="I32" i="9"/>
  <c r="J34" i="9"/>
  <c r="E32" i="9"/>
  <c r="J31" i="9"/>
  <c r="J33" i="9"/>
  <c r="J32" i="9"/>
  <c r="G31" i="9"/>
  <c r="G34" i="9"/>
  <c r="G33" i="9"/>
  <c r="H32" i="9"/>
  <c r="G32" i="9"/>
  <c r="F34" i="9"/>
  <c r="F33" i="9"/>
  <c r="H34" i="9"/>
  <c r="H33" i="9"/>
  <c r="E33" i="9"/>
  <c r="E65" i="7" l="1"/>
  <c r="E66" i="7"/>
  <c r="N34" i="9"/>
  <c r="E26" i="13"/>
  <c r="F26" i="13"/>
  <c r="G26" i="13"/>
  <c r="H26" i="13"/>
  <c r="N33" i="9"/>
  <c r="G25" i="13"/>
  <c r="F25" i="13"/>
  <c r="E25" i="13"/>
  <c r="J25" i="13" s="1"/>
  <c r="J26" i="13" s="1"/>
  <c r="H25" i="13"/>
  <c r="C73" i="11"/>
  <c r="I73" i="11" s="1"/>
  <c r="D72" i="11"/>
  <c r="P34" i="9"/>
  <c r="E34" i="9"/>
  <c r="T34" i="9"/>
  <c r="O34" i="9"/>
  <c r="AA34" i="9"/>
  <c r="S34" i="9"/>
  <c r="Q57" i="11"/>
  <c r="B35" i="9"/>
  <c r="V32" i="9"/>
  <c r="V33" i="9"/>
  <c r="AV31" i="9"/>
  <c r="P32" i="10" s="1"/>
  <c r="F32" i="10"/>
  <c r="AU31" i="9"/>
  <c r="O32" i="10" s="1"/>
  <c r="E32" i="10"/>
  <c r="C33" i="9"/>
  <c r="C33" i="10"/>
  <c r="Q54" i="11"/>
  <c r="R54" i="11" s="1"/>
  <c r="E86" i="11"/>
  <c r="K86" i="11" s="1"/>
  <c r="F86" i="11"/>
  <c r="L86" i="11" s="1"/>
  <c r="C86" i="11"/>
  <c r="I86" i="11" s="1"/>
  <c r="G86" i="11"/>
  <c r="M86" i="11" s="1"/>
  <c r="D86" i="11"/>
  <c r="J86" i="11" s="1"/>
  <c r="Q49" i="11"/>
  <c r="R49" i="11" s="1"/>
  <c r="C81" i="11"/>
  <c r="I81" i="11" s="1"/>
  <c r="D81" i="11"/>
  <c r="J81" i="11" s="1"/>
  <c r="E81" i="11"/>
  <c r="K81" i="11" s="1"/>
  <c r="F81" i="11"/>
  <c r="L81" i="11" s="1"/>
  <c r="G81" i="11"/>
  <c r="M81" i="11" s="1"/>
  <c r="Q48" i="11"/>
  <c r="R48" i="11" s="1"/>
  <c r="D80" i="11"/>
  <c r="J80" i="11" s="1"/>
  <c r="E80" i="11"/>
  <c r="K80" i="11" s="1"/>
  <c r="C80" i="11"/>
  <c r="I80" i="11" s="1"/>
  <c r="F80" i="11"/>
  <c r="L80" i="11" s="1"/>
  <c r="G80" i="11"/>
  <c r="M80" i="11" s="1"/>
  <c r="Q37" i="11"/>
  <c r="R37" i="11" s="1"/>
  <c r="C69" i="11"/>
  <c r="I69" i="11" s="1"/>
  <c r="G69" i="11"/>
  <c r="M69" i="11" s="1"/>
  <c r="E69" i="11"/>
  <c r="K69" i="11" s="1"/>
  <c r="D69" i="11"/>
  <c r="J69" i="11" s="1"/>
  <c r="F69" i="11"/>
  <c r="L69" i="11" s="1"/>
  <c r="Q42" i="11"/>
  <c r="R42" i="11" s="1"/>
  <c r="E74" i="11"/>
  <c r="K74" i="11" s="1"/>
  <c r="C74" i="11"/>
  <c r="I74" i="11" s="1"/>
  <c r="F74" i="11"/>
  <c r="L74" i="11" s="1"/>
  <c r="D74" i="11"/>
  <c r="J74" i="11" s="1"/>
  <c r="G74" i="11"/>
  <c r="M74" i="11" s="1"/>
  <c r="Q56" i="11"/>
  <c r="R56" i="11" s="1"/>
  <c r="F88" i="11"/>
  <c r="L88" i="11" s="1"/>
  <c r="G88" i="11"/>
  <c r="M88" i="11" s="1"/>
  <c r="E88" i="11"/>
  <c r="K88" i="11" s="1"/>
  <c r="C88" i="11"/>
  <c r="I88" i="11" s="1"/>
  <c r="D88" i="11"/>
  <c r="J88" i="11" s="1"/>
  <c r="Q36" i="11"/>
  <c r="R36" i="11" s="1"/>
  <c r="D68" i="11"/>
  <c r="J68" i="11" s="1"/>
  <c r="C68" i="11"/>
  <c r="I68" i="11" s="1"/>
  <c r="E68" i="11"/>
  <c r="K68" i="11" s="1"/>
  <c r="G68" i="11"/>
  <c r="M68" i="11" s="1"/>
  <c r="F68" i="11"/>
  <c r="L68" i="11" s="1"/>
  <c r="Q38" i="11"/>
  <c r="R38" i="11" s="1"/>
  <c r="E70" i="11"/>
  <c r="K70" i="11" s="1"/>
  <c r="F70" i="11"/>
  <c r="L70" i="11" s="1"/>
  <c r="D70" i="11"/>
  <c r="J70" i="11" s="1"/>
  <c r="C70" i="11"/>
  <c r="I70" i="11" s="1"/>
  <c r="G70" i="11"/>
  <c r="M70" i="11" s="1"/>
  <c r="Q53" i="11"/>
  <c r="R53" i="11" s="1"/>
  <c r="D85" i="11"/>
  <c r="J85" i="11" s="1"/>
  <c r="G85" i="11"/>
  <c r="M85" i="11" s="1"/>
  <c r="F85" i="11"/>
  <c r="L85" i="11" s="1"/>
  <c r="E85" i="11"/>
  <c r="K85" i="11" s="1"/>
  <c r="C85" i="11"/>
  <c r="I85" i="11" s="1"/>
  <c r="Q35" i="11"/>
  <c r="R35" i="11" s="1"/>
  <c r="D67" i="11"/>
  <c r="J67" i="11" s="1"/>
  <c r="C67" i="11"/>
  <c r="I67" i="11" s="1"/>
  <c r="F67" i="11"/>
  <c r="L67" i="11" s="1"/>
  <c r="G67" i="11"/>
  <c r="M67" i="11" s="1"/>
  <c r="E67" i="11"/>
  <c r="K67" i="11" s="1"/>
  <c r="Q41" i="11"/>
  <c r="R41" i="11" s="1"/>
  <c r="G73" i="11"/>
  <c r="M73" i="11" s="1"/>
  <c r="F73" i="11"/>
  <c r="L73" i="11" s="1"/>
  <c r="D73" i="11"/>
  <c r="J73" i="11" s="1"/>
  <c r="E73" i="11"/>
  <c r="K73" i="11" s="1"/>
  <c r="Q47" i="11"/>
  <c r="R47" i="11" s="1"/>
  <c r="G79" i="11"/>
  <c r="M79" i="11" s="1"/>
  <c r="C79" i="11"/>
  <c r="I79" i="11" s="1"/>
  <c r="E79" i="11"/>
  <c r="K79" i="11" s="1"/>
  <c r="D79" i="11"/>
  <c r="J79" i="11" s="1"/>
  <c r="F79" i="11"/>
  <c r="L79" i="11" s="1"/>
  <c r="Q55" i="11"/>
  <c r="R55" i="11" s="1"/>
  <c r="G87" i="11"/>
  <c r="M87" i="11" s="1"/>
  <c r="C87" i="11"/>
  <c r="I87" i="11" s="1"/>
  <c r="F87" i="11"/>
  <c r="L87" i="11" s="1"/>
  <c r="E87" i="11"/>
  <c r="K87" i="11" s="1"/>
  <c r="D87" i="11"/>
  <c r="J87" i="11" s="1"/>
  <c r="Q32" i="11"/>
  <c r="R32" i="11" s="1"/>
  <c r="F64" i="11"/>
  <c r="G64" i="11"/>
  <c r="E64" i="11"/>
  <c r="D64" i="11"/>
  <c r="C64" i="11"/>
  <c r="Q52" i="11"/>
  <c r="R52" i="11" s="1"/>
  <c r="C84" i="11"/>
  <c r="I84" i="11" s="1"/>
  <c r="F84" i="11"/>
  <c r="L84" i="11" s="1"/>
  <c r="G84" i="11"/>
  <c r="M84" i="11" s="1"/>
  <c r="E84" i="11"/>
  <c r="K84" i="11" s="1"/>
  <c r="D84" i="11"/>
  <c r="J84" i="11" s="1"/>
  <c r="Q46" i="11"/>
  <c r="R46" i="11" s="1"/>
  <c r="G78" i="11"/>
  <c r="M78" i="11" s="1"/>
  <c r="D78" i="11"/>
  <c r="J78" i="11" s="1"/>
  <c r="E78" i="11"/>
  <c r="K78" i="11" s="1"/>
  <c r="C78" i="11"/>
  <c r="I78" i="11" s="1"/>
  <c r="F78" i="11"/>
  <c r="L78" i="11" s="1"/>
  <c r="Q40" i="11"/>
  <c r="R40" i="11" s="1"/>
  <c r="F72" i="11"/>
  <c r="L72" i="11" s="1"/>
  <c r="G72" i="11"/>
  <c r="M72" i="11" s="1"/>
  <c r="E72" i="11"/>
  <c r="K72" i="11" s="1"/>
  <c r="J72" i="11"/>
  <c r="C72" i="11"/>
  <c r="I72" i="11" s="1"/>
  <c r="Q34" i="11"/>
  <c r="R34" i="11" s="1"/>
  <c r="G66" i="11"/>
  <c r="M66" i="11" s="1"/>
  <c r="D66" i="11"/>
  <c r="J66" i="11" s="1"/>
  <c r="C66" i="11"/>
  <c r="I66" i="11" s="1"/>
  <c r="E66" i="11"/>
  <c r="K66" i="11" s="1"/>
  <c r="F66" i="11"/>
  <c r="L66" i="11" s="1"/>
  <c r="Q51" i="11"/>
  <c r="R51" i="11" s="1"/>
  <c r="C83" i="11"/>
  <c r="I83" i="11" s="1"/>
  <c r="E83" i="11"/>
  <c r="K83" i="11" s="1"/>
  <c r="F83" i="11"/>
  <c r="L83" i="11" s="1"/>
  <c r="D83" i="11"/>
  <c r="J83" i="11" s="1"/>
  <c r="G83" i="11"/>
  <c r="M83" i="11" s="1"/>
  <c r="R57" i="11"/>
  <c r="F89" i="11"/>
  <c r="L89" i="11" s="1"/>
  <c r="C89" i="11"/>
  <c r="I89" i="11" s="1"/>
  <c r="D89" i="11"/>
  <c r="J89" i="11" s="1"/>
  <c r="G89" i="11"/>
  <c r="M89" i="11" s="1"/>
  <c r="E89" i="11"/>
  <c r="K89" i="11" s="1"/>
  <c r="Q44" i="11"/>
  <c r="R44" i="11" s="1"/>
  <c r="F76" i="11"/>
  <c r="L76" i="11" s="1"/>
  <c r="D76" i="11"/>
  <c r="J76" i="11" s="1"/>
  <c r="C76" i="11"/>
  <c r="I76" i="11" s="1"/>
  <c r="E76" i="11"/>
  <c r="K76" i="11" s="1"/>
  <c r="G76" i="11"/>
  <c r="M76" i="11" s="1"/>
  <c r="Q39" i="11"/>
  <c r="R39" i="11" s="1"/>
  <c r="E71" i="11"/>
  <c r="K71" i="11" s="1"/>
  <c r="C71" i="11"/>
  <c r="I71" i="11" s="1"/>
  <c r="F71" i="11"/>
  <c r="L71" i="11" s="1"/>
  <c r="D71" i="11"/>
  <c r="J71" i="11" s="1"/>
  <c r="G71" i="11"/>
  <c r="M71" i="11" s="1"/>
  <c r="Q45" i="11"/>
  <c r="R45" i="11" s="1"/>
  <c r="C77" i="11"/>
  <c r="I77" i="11" s="1"/>
  <c r="F77" i="11"/>
  <c r="L77" i="11" s="1"/>
  <c r="E77" i="11"/>
  <c r="K77" i="11" s="1"/>
  <c r="D77" i="11"/>
  <c r="J77" i="11" s="1"/>
  <c r="G77" i="11"/>
  <c r="M77" i="11" s="1"/>
  <c r="Q43" i="11"/>
  <c r="R43" i="11" s="1"/>
  <c r="E75" i="11"/>
  <c r="K75" i="11" s="1"/>
  <c r="D75" i="11"/>
  <c r="J75" i="11" s="1"/>
  <c r="G75" i="11"/>
  <c r="M75" i="11" s="1"/>
  <c r="C75" i="11"/>
  <c r="I75" i="11" s="1"/>
  <c r="F75" i="11"/>
  <c r="L75" i="11" s="1"/>
  <c r="Q50" i="11"/>
  <c r="R50" i="11" s="1"/>
  <c r="D82" i="11"/>
  <c r="J82" i="11" s="1"/>
  <c r="G82" i="11"/>
  <c r="M82" i="11" s="1"/>
  <c r="C82" i="11"/>
  <c r="I82" i="11" s="1"/>
  <c r="E82" i="11"/>
  <c r="K82" i="11" s="1"/>
  <c r="F82" i="11"/>
  <c r="L82" i="11" s="1"/>
  <c r="R33" i="11"/>
  <c r="F65" i="11"/>
  <c r="L65" i="11" s="1"/>
  <c r="E65" i="11"/>
  <c r="K65" i="11" s="1"/>
  <c r="C65" i="11"/>
  <c r="I65" i="11" s="1"/>
  <c r="G65" i="11"/>
  <c r="M65" i="11" s="1"/>
  <c r="D65" i="11"/>
  <c r="J65" i="11" s="1"/>
  <c r="AE33" i="9"/>
  <c r="Z33" i="9"/>
  <c r="AE32" i="9"/>
  <c r="Z32" i="9"/>
  <c r="AE34" i="9"/>
  <c r="Z34" i="9"/>
  <c r="W32" i="9"/>
  <c r="AM32" i="9" s="1"/>
  <c r="AC32" i="9"/>
  <c r="AD32" i="9" s="1"/>
  <c r="X32" i="9"/>
  <c r="Y32" i="9" s="1"/>
  <c r="AG32" i="9"/>
  <c r="W33" i="9"/>
  <c r="AC33" i="9"/>
  <c r="AD33" i="9" s="1"/>
  <c r="AF33" i="9" s="1"/>
  <c r="X33" i="9"/>
  <c r="Y33" i="9" s="1"/>
  <c r="AB33" i="9" s="1"/>
  <c r="AG33" i="9"/>
  <c r="W34" i="9"/>
  <c r="V34" i="9"/>
  <c r="AC34" i="9"/>
  <c r="AD34" i="9" s="1"/>
  <c r="AF34" i="9" s="1"/>
  <c r="X34" i="9"/>
  <c r="Y34" i="9" s="1"/>
  <c r="AB34" i="9" s="1"/>
  <c r="AG34" i="9" l="1"/>
  <c r="N35" i="9"/>
  <c r="H27" i="13"/>
  <c r="G27" i="13"/>
  <c r="F27" i="13"/>
  <c r="E27" i="13"/>
  <c r="O25" i="13"/>
  <c r="I32" i="16" s="1"/>
  <c r="B36" i="9"/>
  <c r="S35" i="9"/>
  <c r="T35" i="9"/>
  <c r="L35" i="9"/>
  <c r="M35" i="9"/>
  <c r="F35" i="9"/>
  <c r="H35" i="9"/>
  <c r="Q35" i="9"/>
  <c r="E35" i="9"/>
  <c r="J35" i="9"/>
  <c r="AI35" i="9"/>
  <c r="G35" i="9"/>
  <c r="AA35" i="9"/>
  <c r="O35" i="9"/>
  <c r="I35" i="9"/>
  <c r="R35" i="9"/>
  <c r="K35" i="9"/>
  <c r="P35" i="9"/>
  <c r="O26" i="13"/>
  <c r="I33" i="16" s="1"/>
  <c r="J27" i="13"/>
  <c r="I64" i="11"/>
  <c r="N34" i="7" s="1"/>
  <c r="F96" i="7" s="1"/>
  <c r="D34" i="7"/>
  <c r="J64" i="11"/>
  <c r="O34" i="7" s="1"/>
  <c r="G96" i="7" s="1"/>
  <c r="E34" i="7"/>
  <c r="K64" i="11"/>
  <c r="G34" i="7"/>
  <c r="F34" i="7"/>
  <c r="M64" i="11"/>
  <c r="J34" i="7"/>
  <c r="K34" i="7"/>
  <c r="L64" i="11"/>
  <c r="R34" i="7" s="1"/>
  <c r="I34" i="7"/>
  <c r="H34" i="7"/>
  <c r="C34" i="9"/>
  <c r="C34" i="10"/>
  <c r="AJ34" i="9"/>
  <c r="AH34" i="9"/>
  <c r="AB32" i="9"/>
  <c r="AF32" i="9"/>
  <c r="AJ33" i="9"/>
  <c r="AH33" i="9"/>
  <c r="N36" i="9" l="1"/>
  <c r="E28" i="13"/>
  <c r="H28" i="13"/>
  <c r="F28" i="13"/>
  <c r="G28" i="13"/>
  <c r="E67" i="7"/>
  <c r="J28" i="13"/>
  <c r="O27" i="13"/>
  <c r="I34" i="16" s="1"/>
  <c r="X35" i="9"/>
  <c r="Y35" i="9" s="1"/>
  <c r="AB35" i="9" s="1"/>
  <c r="AG35" i="9"/>
  <c r="W35" i="9"/>
  <c r="V35" i="9"/>
  <c r="AC35" i="9"/>
  <c r="AD35" i="9" s="1"/>
  <c r="AF35" i="9" s="1"/>
  <c r="AE35" i="9"/>
  <c r="Z35" i="9"/>
  <c r="B37" i="9"/>
  <c r="M36" i="9"/>
  <c r="I36" i="9"/>
  <c r="T36" i="9"/>
  <c r="S36" i="9"/>
  <c r="K36" i="9"/>
  <c r="F36" i="9"/>
  <c r="J36" i="9"/>
  <c r="E36" i="9"/>
  <c r="P36" i="9"/>
  <c r="H36" i="9"/>
  <c r="AA36" i="9"/>
  <c r="R36" i="9"/>
  <c r="Q36" i="9"/>
  <c r="E68" i="7" s="1"/>
  <c r="G36" i="9"/>
  <c r="AI36" i="9"/>
  <c r="L36" i="9"/>
  <c r="O36" i="9"/>
  <c r="S34" i="7"/>
  <c r="I96" i="7" s="1"/>
  <c r="U34" i="7"/>
  <c r="J96" i="7" s="1"/>
  <c r="T34" i="7"/>
  <c r="P34" i="7"/>
  <c r="Q34" i="7"/>
  <c r="H96" i="7" s="1"/>
  <c r="C35" i="9"/>
  <c r="C35" i="10"/>
  <c r="AJ32" i="9"/>
  <c r="AH32" i="9"/>
  <c r="N37" i="9" l="1"/>
  <c r="F29" i="13"/>
  <c r="E29" i="13"/>
  <c r="H29" i="13"/>
  <c r="G29" i="13"/>
  <c r="B38" i="9"/>
  <c r="R37" i="9"/>
  <c r="AI37" i="9"/>
  <c r="M37" i="9"/>
  <c r="T37" i="9"/>
  <c r="O37" i="9"/>
  <c r="Q37" i="9"/>
  <c r="E69" i="7" s="1"/>
  <c r="S37" i="9"/>
  <c r="L37" i="9"/>
  <c r="F37" i="9"/>
  <c r="G37" i="9"/>
  <c r="E37" i="9"/>
  <c r="J37" i="9"/>
  <c r="P37" i="9"/>
  <c r="K37" i="9"/>
  <c r="H37" i="9"/>
  <c r="AA37" i="9"/>
  <c r="I37" i="9"/>
  <c r="AJ35" i="9"/>
  <c r="AH35" i="9"/>
  <c r="W36" i="9"/>
  <c r="V36" i="9"/>
  <c r="AC36" i="9"/>
  <c r="AD36" i="9" s="1"/>
  <c r="AF36" i="9" s="1"/>
  <c r="X36" i="9"/>
  <c r="Y36" i="9" s="1"/>
  <c r="AB36" i="9" s="1"/>
  <c r="AG36" i="9"/>
  <c r="Z36" i="9"/>
  <c r="AE36" i="9"/>
  <c r="J29" i="13"/>
  <c r="O28" i="13"/>
  <c r="I35" i="16" s="1"/>
  <c r="C36" i="9"/>
  <c r="C36" i="10"/>
  <c r="N38" i="9" l="1"/>
  <c r="E30" i="13"/>
  <c r="G30" i="13"/>
  <c r="F30" i="13"/>
  <c r="H30" i="13"/>
  <c r="D21" i="16"/>
  <c r="D20" i="16"/>
  <c r="D22" i="16"/>
  <c r="W37" i="9"/>
  <c r="V37" i="9"/>
  <c r="X37" i="9"/>
  <c r="Y37" i="9" s="1"/>
  <c r="AB37" i="9" s="1"/>
  <c r="AG37" i="9"/>
  <c r="AC37" i="9"/>
  <c r="AD37" i="9" s="1"/>
  <c r="AF37" i="9" s="1"/>
  <c r="AJ36" i="9"/>
  <c r="AH36" i="9"/>
  <c r="Z37" i="9"/>
  <c r="AE37" i="9"/>
  <c r="J30" i="13"/>
  <c r="O29" i="13"/>
  <c r="I36" i="16" s="1"/>
  <c r="B39" i="9"/>
  <c r="H38" i="9"/>
  <c r="K38" i="9"/>
  <c r="G38" i="9"/>
  <c r="T38" i="9"/>
  <c r="E38" i="9"/>
  <c r="AI38" i="9"/>
  <c r="S38" i="9"/>
  <c r="P38" i="9"/>
  <c r="L38" i="9"/>
  <c r="R38" i="9"/>
  <c r="Q38" i="9"/>
  <c r="E70" i="7" s="1"/>
  <c r="M38" i="9"/>
  <c r="I38" i="9"/>
  <c r="J38" i="9"/>
  <c r="F38" i="9"/>
  <c r="AA38" i="9"/>
  <c r="O38" i="9"/>
  <c r="C37" i="9"/>
  <c r="C37" i="10"/>
  <c r="E14" i="16"/>
  <c r="N39" i="9" l="1"/>
  <c r="G31" i="13"/>
  <c r="E31" i="13"/>
  <c r="H31" i="13"/>
  <c r="F31" i="13"/>
  <c r="O30" i="13"/>
  <c r="I37" i="16" s="1"/>
  <c r="J31" i="13"/>
  <c r="Z38" i="9"/>
  <c r="AE38" i="9"/>
  <c r="AJ37" i="9"/>
  <c r="AH37" i="9"/>
  <c r="AC38" i="9"/>
  <c r="AD38" i="9" s="1"/>
  <c r="AF38" i="9" s="1"/>
  <c r="X38" i="9"/>
  <c r="Y38" i="9" s="1"/>
  <c r="AB38" i="9" s="1"/>
  <c r="W38" i="9"/>
  <c r="AG38" i="9"/>
  <c r="V38" i="9"/>
  <c r="B40" i="9"/>
  <c r="N40" i="9" s="1"/>
  <c r="J39" i="9"/>
  <c r="H39" i="9"/>
  <c r="F39" i="9"/>
  <c r="O39" i="9"/>
  <c r="E39" i="9"/>
  <c r="M39" i="9"/>
  <c r="Q39" i="9"/>
  <c r="E71" i="7" s="1"/>
  <c r="L39" i="9"/>
  <c r="AI39" i="9"/>
  <c r="AA39" i="9"/>
  <c r="P39" i="9"/>
  <c r="I39" i="9"/>
  <c r="T39" i="9"/>
  <c r="S39" i="9"/>
  <c r="R39" i="9"/>
  <c r="K39" i="9"/>
  <c r="G39" i="9"/>
  <c r="E14" i="13"/>
  <c r="C38" i="9"/>
  <c r="C38" i="10"/>
  <c r="E14" i="9"/>
  <c r="AL32" i="9"/>
  <c r="AZ32" i="9"/>
  <c r="AZ33" i="9" s="1"/>
  <c r="AZ34" i="9" s="1"/>
  <c r="AZ35" i="9" s="1"/>
  <c r="AZ36" i="9" s="1"/>
  <c r="AZ37" i="9" s="1"/>
  <c r="AX32" i="9"/>
  <c r="AX33" i="9" s="1"/>
  <c r="AX34" i="9" s="1"/>
  <c r="AX35" i="9" s="1"/>
  <c r="AX36" i="9" s="1"/>
  <c r="AX37" i="9" s="1"/>
  <c r="AP32" i="9"/>
  <c r="AN32" i="9"/>
  <c r="AN33" i="9" s="1"/>
  <c r="AN34" i="9" s="1"/>
  <c r="AN35" i="9" s="1"/>
  <c r="AN36" i="9" s="1"/>
  <c r="AN37" i="9" s="1"/>
  <c r="AW32" i="9"/>
  <c r="AW33" i="9" s="1"/>
  <c r="AY32" i="9"/>
  <c r="AY33" i="9" s="1"/>
  <c r="AY34" i="9" s="1"/>
  <c r="AY35" i="9" s="1"/>
  <c r="AY36" i="9" s="1"/>
  <c r="AY37" i="9" s="1"/>
  <c r="AO32" i="9"/>
  <c r="AQ32" i="9"/>
  <c r="AS32" i="9"/>
  <c r="BB32" i="9"/>
  <c r="BB33" i="9" s="1"/>
  <c r="BB34" i="9" s="1"/>
  <c r="BB35" i="9" s="1"/>
  <c r="BB36" i="9" s="1"/>
  <c r="BB37" i="9" s="1"/>
  <c r="BA32" i="9"/>
  <c r="BA33" i="9" s="1"/>
  <c r="BA34" i="9" s="1"/>
  <c r="BA35" i="9" s="1"/>
  <c r="BA36" i="9" s="1"/>
  <c r="BA37" i="9" s="1"/>
  <c r="AR32" i="9"/>
  <c r="AX38" i="9" l="1"/>
  <c r="AN38" i="9"/>
  <c r="AY38" i="9"/>
  <c r="F33" i="10"/>
  <c r="E35" i="7" s="1"/>
  <c r="AM33" i="9"/>
  <c r="AM34" i="9" s="1"/>
  <c r="AM35" i="9" s="1"/>
  <c r="AM36" i="9" s="1"/>
  <c r="AZ38" i="9"/>
  <c r="BA38" i="9"/>
  <c r="E33" i="10"/>
  <c r="D35" i="7" s="1"/>
  <c r="AL33" i="9"/>
  <c r="AL34" i="9" s="1"/>
  <c r="AL35" i="9" s="1"/>
  <c r="AL36" i="9" s="1"/>
  <c r="AL37" i="9" s="1"/>
  <c r="AL38" i="9" s="1"/>
  <c r="BB38" i="9"/>
  <c r="AH38" i="9"/>
  <c r="AJ38" i="9"/>
  <c r="Z39" i="9"/>
  <c r="AE39" i="9"/>
  <c r="AG39" i="9"/>
  <c r="AC39" i="9"/>
  <c r="AD39" i="9" s="1"/>
  <c r="AF39" i="9" s="1"/>
  <c r="W39" i="9"/>
  <c r="X39" i="9"/>
  <c r="Y39" i="9" s="1"/>
  <c r="AB39" i="9" s="1"/>
  <c r="V39" i="9"/>
  <c r="B41" i="9"/>
  <c r="N41" i="9" s="1"/>
  <c r="I40" i="9"/>
  <c r="AA40" i="9"/>
  <c r="Q40" i="9"/>
  <c r="E72" i="7" s="1"/>
  <c r="G40" i="9"/>
  <c r="R40" i="9"/>
  <c r="O40" i="9"/>
  <c r="L40" i="9"/>
  <c r="S40" i="9"/>
  <c r="E40" i="9"/>
  <c r="P40" i="9"/>
  <c r="T40" i="9"/>
  <c r="M40" i="9"/>
  <c r="K40" i="9"/>
  <c r="AI40" i="9"/>
  <c r="F40" i="9"/>
  <c r="J40" i="9"/>
  <c r="H40" i="9"/>
  <c r="J32" i="13"/>
  <c r="O31" i="13"/>
  <c r="I38" i="16" s="1"/>
  <c r="C39" i="9"/>
  <c r="C39" i="10"/>
  <c r="Q33" i="10"/>
  <c r="P35" i="7" s="1"/>
  <c r="T33" i="10"/>
  <c r="S35" i="7" s="1"/>
  <c r="I97" i="7" s="1"/>
  <c r="AO33" i="9"/>
  <c r="H33" i="10"/>
  <c r="G35" i="7" s="1"/>
  <c r="U33" i="10"/>
  <c r="T35" i="7" s="1"/>
  <c r="AQ33" i="9"/>
  <c r="J33" i="10"/>
  <c r="I35" i="7" s="1"/>
  <c r="S33" i="10"/>
  <c r="R35" i="7" s="1"/>
  <c r="G33" i="10"/>
  <c r="F35" i="7" s="1"/>
  <c r="AP33" i="9"/>
  <c r="I33" i="10"/>
  <c r="H35" i="7" s="1"/>
  <c r="R33" i="10"/>
  <c r="Q35" i="7" s="1"/>
  <c r="H97" i="7" s="1"/>
  <c r="AR33" i="9"/>
  <c r="K33" i="10"/>
  <c r="J35" i="7" s="1"/>
  <c r="V33" i="10"/>
  <c r="U35" i="7" s="1"/>
  <c r="AS33" i="9"/>
  <c r="L33" i="10"/>
  <c r="K35" i="7" s="1"/>
  <c r="AV32" i="9"/>
  <c r="P33" i="10" s="1"/>
  <c r="O35" i="7" s="1"/>
  <c r="G97" i="7" s="1"/>
  <c r="AU32" i="9"/>
  <c r="O33" i="10" s="1"/>
  <c r="N35" i="7" s="1"/>
  <c r="F97" i="7" s="1"/>
  <c r="X40" i="9" l="1"/>
  <c r="AM37" i="9"/>
  <c r="AM38" i="9" s="1"/>
  <c r="F37" i="10"/>
  <c r="BB39" i="9"/>
  <c r="BA39" i="9"/>
  <c r="AZ39" i="9"/>
  <c r="F34" i="10"/>
  <c r="E36" i="7" s="1"/>
  <c r="E34" i="10"/>
  <c r="D36" i="7" s="1"/>
  <c r="J97" i="7"/>
  <c r="O86" i="7"/>
  <c r="P86" i="7" s="1"/>
  <c r="AN39" i="9"/>
  <c r="AL39" i="9"/>
  <c r="AX39" i="9"/>
  <c r="AM39" i="9"/>
  <c r="AY39" i="9"/>
  <c r="B42" i="9"/>
  <c r="N42" i="9" s="1"/>
  <c r="R41" i="9"/>
  <c r="F41" i="9"/>
  <c r="AA41" i="9"/>
  <c r="M41" i="9"/>
  <c r="O41" i="9"/>
  <c r="E41" i="9"/>
  <c r="L41" i="9"/>
  <c r="K41" i="9"/>
  <c r="Q41" i="9"/>
  <c r="P41" i="9"/>
  <c r="AI41" i="9"/>
  <c r="S41" i="9"/>
  <c r="I41" i="9"/>
  <c r="J41" i="9"/>
  <c r="T41" i="9"/>
  <c r="G41" i="9"/>
  <c r="H41" i="9"/>
  <c r="AJ39" i="9"/>
  <c r="AH39" i="9"/>
  <c r="AG40" i="9"/>
  <c r="Y40" i="9"/>
  <c r="AB40" i="9" s="1"/>
  <c r="AC40" i="9"/>
  <c r="AD40" i="9" s="1"/>
  <c r="AF40" i="9" s="1"/>
  <c r="W40" i="9"/>
  <c r="Z40" i="9"/>
  <c r="AE40" i="9"/>
  <c r="O32" i="13"/>
  <c r="I39" i="16" s="1"/>
  <c r="J33" i="13"/>
  <c r="V40" i="9"/>
  <c r="C40" i="9"/>
  <c r="C40" i="10"/>
  <c r="V34" i="10"/>
  <c r="U36" i="7" s="1"/>
  <c r="O87" i="7" s="1"/>
  <c r="AR34" i="9"/>
  <c r="K34" i="10"/>
  <c r="J36" i="7" s="1"/>
  <c r="AO34" i="9"/>
  <c r="H34" i="10"/>
  <c r="G36" i="7" s="1"/>
  <c r="S34" i="10"/>
  <c r="R36" i="7" s="1"/>
  <c r="AS34" i="9"/>
  <c r="L34" i="10"/>
  <c r="K36" i="7" s="1"/>
  <c r="AQ34" i="9"/>
  <c r="J34" i="10"/>
  <c r="I36" i="7" s="1"/>
  <c r="U34" i="10"/>
  <c r="T36" i="7" s="1"/>
  <c r="R34" i="10"/>
  <c r="Q36" i="7" s="1"/>
  <c r="H98" i="7" s="1"/>
  <c r="AP34" i="9"/>
  <c r="I34" i="10"/>
  <c r="H36" i="7" s="1"/>
  <c r="T34" i="10"/>
  <c r="S36" i="7" s="1"/>
  <c r="I98" i="7" s="1"/>
  <c r="G34" i="10"/>
  <c r="F36" i="7" s="1"/>
  <c r="AW34" i="9"/>
  <c r="Q34" i="10"/>
  <c r="P36" i="7" s="1"/>
  <c r="AU33" i="9"/>
  <c r="O34" i="10" s="1"/>
  <c r="N36" i="7" s="1"/>
  <c r="F98" i="7" s="1"/>
  <c r="E35" i="10"/>
  <c r="D37" i="7" s="1"/>
  <c r="F35" i="10"/>
  <c r="E37" i="7" s="1"/>
  <c r="AV33" i="9"/>
  <c r="P34" i="10" s="1"/>
  <c r="O36" i="7" s="1"/>
  <c r="G98" i="7" s="1"/>
  <c r="E73" i="7" l="1"/>
  <c r="F65" i="7"/>
  <c r="AZ40" i="9"/>
  <c r="BA40" i="9"/>
  <c r="BB40" i="9"/>
  <c r="AY40" i="9"/>
  <c r="AM40" i="9"/>
  <c r="J98" i="7"/>
  <c r="P87" i="7"/>
  <c r="AX40" i="9"/>
  <c r="AN40" i="9"/>
  <c r="AL40" i="9"/>
  <c r="AJ40" i="9"/>
  <c r="AH40" i="9"/>
  <c r="Z41" i="9"/>
  <c r="AE41" i="9"/>
  <c r="AC41" i="9"/>
  <c r="AD41" i="9" s="1"/>
  <c r="AF41" i="9" s="1"/>
  <c r="W41" i="9"/>
  <c r="V41" i="9"/>
  <c r="X41" i="9"/>
  <c r="Y41" i="9" s="1"/>
  <c r="AB41" i="9" s="1"/>
  <c r="AG41" i="9"/>
  <c r="J34" i="13"/>
  <c r="O33" i="13"/>
  <c r="I40" i="16" s="1"/>
  <c r="B43" i="9"/>
  <c r="N43" i="9" s="1"/>
  <c r="T42" i="9"/>
  <c r="E42" i="9"/>
  <c r="P42" i="9"/>
  <c r="Q42" i="9"/>
  <c r="I42" i="9"/>
  <c r="K42" i="9"/>
  <c r="J42" i="9"/>
  <c r="R42" i="9"/>
  <c r="M42" i="9"/>
  <c r="G42" i="9"/>
  <c r="S42" i="9"/>
  <c r="AI42" i="9"/>
  <c r="O42" i="9"/>
  <c r="F42" i="9"/>
  <c r="L42" i="9"/>
  <c r="AA42" i="9"/>
  <c r="H42" i="9"/>
  <c r="C41" i="9"/>
  <c r="C41" i="10"/>
  <c r="G35" i="10"/>
  <c r="F37" i="7" s="1"/>
  <c r="AS35" i="9"/>
  <c r="L35" i="10"/>
  <c r="K37" i="7" s="1"/>
  <c r="S35" i="10"/>
  <c r="R37" i="7" s="1"/>
  <c r="AW35" i="9"/>
  <c r="Q35" i="10"/>
  <c r="P37" i="7" s="1"/>
  <c r="R35" i="10"/>
  <c r="Q37" i="7" s="1"/>
  <c r="H99" i="7" s="1"/>
  <c r="AQ35" i="9"/>
  <c r="J35" i="10"/>
  <c r="I37" i="7" s="1"/>
  <c r="T35" i="10"/>
  <c r="S37" i="7" s="1"/>
  <c r="I99" i="7" s="1"/>
  <c r="AP35" i="9"/>
  <c r="I35" i="10"/>
  <c r="H37" i="7" s="1"/>
  <c r="AO35" i="9"/>
  <c r="H35" i="10"/>
  <c r="G37" i="7" s="1"/>
  <c r="F66" i="7" s="1"/>
  <c r="AR35" i="9"/>
  <c r="K35" i="10"/>
  <c r="J37" i="7" s="1"/>
  <c r="U35" i="10"/>
  <c r="T37" i="7" s="1"/>
  <c r="V35" i="10"/>
  <c r="U37" i="7" s="1"/>
  <c r="O88" i="7" s="1"/>
  <c r="F36" i="10"/>
  <c r="E38" i="7" s="1"/>
  <c r="AV34" i="9"/>
  <c r="P35" i="10" s="1"/>
  <c r="O37" i="7" s="1"/>
  <c r="G99" i="7" s="1"/>
  <c r="E36" i="10"/>
  <c r="D38" i="7" s="1"/>
  <c r="AU34" i="9"/>
  <c r="O35" i="10" s="1"/>
  <c r="N37" i="7" s="1"/>
  <c r="F99" i="7" s="1"/>
  <c r="E74" i="7" l="1"/>
  <c r="AM41" i="9"/>
  <c r="BB41" i="9"/>
  <c r="AZ41" i="9"/>
  <c r="BA41" i="9"/>
  <c r="AL41" i="9"/>
  <c r="AN41" i="9"/>
  <c r="AX41" i="9"/>
  <c r="J99" i="7"/>
  <c r="P88" i="7"/>
  <c r="AY41" i="9"/>
  <c r="O34" i="13"/>
  <c r="I41" i="16" s="1"/>
  <c r="J35" i="13"/>
  <c r="AH41" i="9"/>
  <c r="AJ41" i="9"/>
  <c r="AG42" i="9"/>
  <c r="X42" i="9"/>
  <c r="Y42" i="9" s="1"/>
  <c r="AB42" i="9" s="1"/>
  <c r="V42" i="9"/>
  <c r="AC42" i="9"/>
  <c r="AD42" i="9" s="1"/>
  <c r="AF42" i="9" s="1"/>
  <c r="W42" i="9"/>
  <c r="AM42" i="9" s="1"/>
  <c r="AE42" i="9"/>
  <c r="Z42" i="9"/>
  <c r="B44" i="9"/>
  <c r="N44" i="9" s="1"/>
  <c r="L43" i="9"/>
  <c r="Q43" i="9"/>
  <c r="E75" i="7" s="1"/>
  <c r="R43" i="9"/>
  <c r="K43" i="9"/>
  <c r="J43" i="9"/>
  <c r="S43" i="9"/>
  <c r="AA43" i="9"/>
  <c r="G43" i="9"/>
  <c r="T43" i="9"/>
  <c r="O43" i="9"/>
  <c r="E43" i="9"/>
  <c r="P43" i="9"/>
  <c r="F43" i="9"/>
  <c r="M43" i="9"/>
  <c r="I43" i="9"/>
  <c r="AI43" i="9"/>
  <c r="H43" i="9"/>
  <c r="C42" i="9"/>
  <c r="C42" i="10"/>
  <c r="R36" i="10"/>
  <c r="Q38" i="7" s="1"/>
  <c r="H100" i="7" s="1"/>
  <c r="V36" i="10"/>
  <c r="U38" i="7" s="1"/>
  <c r="AQ36" i="9"/>
  <c r="J36" i="10"/>
  <c r="I38" i="7" s="1"/>
  <c r="U36" i="10"/>
  <c r="T38" i="7" s="1"/>
  <c r="AR36" i="9"/>
  <c r="K36" i="10"/>
  <c r="J38" i="7" s="1"/>
  <c r="AW36" i="9"/>
  <c r="Q36" i="10"/>
  <c r="P38" i="7" s="1"/>
  <c r="AO36" i="9"/>
  <c r="H36" i="10"/>
  <c r="G38" i="7" s="1"/>
  <c r="F67" i="7" s="1"/>
  <c r="S36" i="10"/>
  <c r="R38" i="7" s="1"/>
  <c r="AP36" i="9"/>
  <c r="I36" i="10"/>
  <c r="H38" i="7" s="1"/>
  <c r="AS36" i="9"/>
  <c r="L36" i="10"/>
  <c r="K38" i="7" s="1"/>
  <c r="T36" i="10"/>
  <c r="S38" i="7" s="1"/>
  <c r="I100" i="7" s="1"/>
  <c r="G36" i="10"/>
  <c r="F38" i="7" s="1"/>
  <c r="E37" i="10"/>
  <c r="D39" i="7" s="1"/>
  <c r="K21" i="7" s="1"/>
  <c r="AU35" i="9"/>
  <c r="O36" i="10" s="1"/>
  <c r="N38" i="7" s="1"/>
  <c r="F100" i="7" s="1"/>
  <c r="E39" i="7"/>
  <c r="K22" i="7" s="1"/>
  <c r="AV35" i="9"/>
  <c r="P36" i="10" s="1"/>
  <c r="O38" i="7" s="1"/>
  <c r="G100" i="7" s="1"/>
  <c r="AL42" i="9" l="1"/>
  <c r="AY42" i="9"/>
  <c r="AX42" i="9"/>
  <c r="BA42" i="9"/>
  <c r="AN42" i="9"/>
  <c r="J100" i="7"/>
  <c r="O89" i="7"/>
  <c r="P89" i="7" s="1"/>
  <c r="AZ42" i="9"/>
  <c r="BB42" i="9"/>
  <c r="Z43" i="9"/>
  <c r="AE43" i="9"/>
  <c r="B45" i="9"/>
  <c r="N45" i="9" s="1"/>
  <c r="AA44" i="9"/>
  <c r="R44" i="9"/>
  <c r="J44" i="9"/>
  <c r="O44" i="9"/>
  <c r="E44" i="9"/>
  <c r="AI44" i="9"/>
  <c r="K44" i="9"/>
  <c r="P44" i="9"/>
  <c r="F44" i="9"/>
  <c r="G44" i="9"/>
  <c r="M44" i="9"/>
  <c r="L44" i="9"/>
  <c r="T44" i="9"/>
  <c r="S44" i="9"/>
  <c r="I44" i="9"/>
  <c r="Q44" i="9"/>
  <c r="E76" i="7" s="1"/>
  <c r="H44" i="9"/>
  <c r="AJ42" i="9"/>
  <c r="AH42" i="9"/>
  <c r="AC43" i="9"/>
  <c r="AD43" i="9" s="1"/>
  <c r="AF43" i="9" s="1"/>
  <c r="V43" i="9"/>
  <c r="W43" i="9"/>
  <c r="AM43" i="9" s="1"/>
  <c r="AG43" i="9"/>
  <c r="X43" i="9"/>
  <c r="Y43" i="9" s="1"/>
  <c r="AB43" i="9" s="1"/>
  <c r="J36" i="13"/>
  <c r="O35" i="13"/>
  <c r="I42" i="16" s="1"/>
  <c r="C43" i="9"/>
  <c r="C43" i="10"/>
  <c r="AW37" i="9"/>
  <c r="Q37" i="10"/>
  <c r="P39" i="7" s="1"/>
  <c r="L23" i="7" s="1"/>
  <c r="G37" i="10"/>
  <c r="F39" i="7" s="1"/>
  <c r="K23" i="7" s="1"/>
  <c r="T37" i="10"/>
  <c r="S39" i="7" s="1"/>
  <c r="L26" i="7" s="1"/>
  <c r="AQ37" i="9"/>
  <c r="J37" i="10"/>
  <c r="I39" i="7" s="1"/>
  <c r="K26" i="7" s="1"/>
  <c r="AR37" i="9"/>
  <c r="K37" i="10"/>
  <c r="J39" i="7" s="1"/>
  <c r="K27" i="7" s="1"/>
  <c r="AS37" i="9"/>
  <c r="L37" i="10"/>
  <c r="K39" i="7" s="1"/>
  <c r="K28" i="7" s="1"/>
  <c r="U37" i="10"/>
  <c r="T39" i="7" s="1"/>
  <c r="L27" i="7" s="1"/>
  <c r="AP37" i="9"/>
  <c r="I37" i="10"/>
  <c r="H39" i="7" s="1"/>
  <c r="K25" i="7" s="1"/>
  <c r="S37" i="10"/>
  <c r="R39" i="7" s="1"/>
  <c r="L25" i="7" s="1"/>
  <c r="V37" i="10"/>
  <c r="U39" i="7" s="1"/>
  <c r="L28" i="7" s="1"/>
  <c r="AO37" i="9"/>
  <c r="H37" i="10"/>
  <c r="G39" i="7" s="1"/>
  <c r="K24" i="7" s="1"/>
  <c r="R37" i="10"/>
  <c r="Q39" i="7" s="1"/>
  <c r="L24" i="7" s="1"/>
  <c r="F38" i="10"/>
  <c r="E40" i="7" s="1"/>
  <c r="AV36" i="9"/>
  <c r="P37" i="10" s="1"/>
  <c r="O39" i="7" s="1"/>
  <c r="L22" i="7" s="1"/>
  <c r="AU36" i="9"/>
  <c r="O37" i="10" s="1"/>
  <c r="N39" i="7" s="1"/>
  <c r="L21" i="7" s="1"/>
  <c r="E38" i="10"/>
  <c r="D40" i="7" s="1"/>
  <c r="AL43" i="9" l="1"/>
  <c r="BB43" i="9"/>
  <c r="BA43" i="9"/>
  <c r="AY43" i="9"/>
  <c r="AZ43" i="9"/>
  <c r="O90" i="7"/>
  <c r="P90" i="7" s="1"/>
  <c r="J101" i="7"/>
  <c r="F101" i="7"/>
  <c r="AN43" i="9"/>
  <c r="G101" i="7"/>
  <c r="AX43" i="9"/>
  <c r="H101" i="7"/>
  <c r="F68" i="7"/>
  <c r="I101" i="7"/>
  <c r="W44" i="9"/>
  <c r="AM44" i="9" s="1"/>
  <c r="AG44" i="9"/>
  <c r="V44" i="9"/>
  <c r="AL44" i="9" s="1"/>
  <c r="AC44" i="9"/>
  <c r="AD44" i="9" s="1"/>
  <c r="AF44" i="9" s="1"/>
  <c r="X44" i="9"/>
  <c r="Y44" i="9" s="1"/>
  <c r="AB44" i="9" s="1"/>
  <c r="AE44" i="9"/>
  <c r="Z44" i="9"/>
  <c r="B46" i="9"/>
  <c r="N46" i="9" s="1"/>
  <c r="I45" i="9"/>
  <c r="O45" i="9"/>
  <c r="R45" i="9"/>
  <c r="AI45" i="9"/>
  <c r="Q45" i="9"/>
  <c r="E77" i="7" s="1"/>
  <c r="M45" i="9"/>
  <c r="K45" i="9"/>
  <c r="F45" i="9"/>
  <c r="G45" i="9"/>
  <c r="J45" i="9"/>
  <c r="T45" i="9"/>
  <c r="L45" i="9"/>
  <c r="AA45" i="9"/>
  <c r="S45" i="9"/>
  <c r="E45" i="9"/>
  <c r="P45" i="9"/>
  <c r="H45" i="9"/>
  <c r="AJ43" i="9"/>
  <c r="AH43" i="9"/>
  <c r="J37" i="13"/>
  <c r="O36" i="13"/>
  <c r="I43" i="16" s="1"/>
  <c r="S74" i="7"/>
  <c r="S78" i="7" s="1"/>
  <c r="S66" i="7"/>
  <c r="S70" i="7" s="1"/>
  <c r="R66" i="7"/>
  <c r="R70" i="7" s="1"/>
  <c r="R74" i="7"/>
  <c r="R78" i="7" s="1"/>
  <c r="T74" i="7"/>
  <c r="T78" i="7" s="1"/>
  <c r="T66" i="7"/>
  <c r="T70" i="7" s="1"/>
  <c r="P74" i="7"/>
  <c r="P78" i="7" s="1"/>
  <c r="P66" i="7"/>
  <c r="P70" i="7" s="1"/>
  <c r="Q74" i="7"/>
  <c r="Q78" i="7" s="1"/>
  <c r="Q66" i="7"/>
  <c r="Q70" i="7" s="1"/>
  <c r="C44" i="9"/>
  <c r="C44" i="10"/>
  <c r="AS38" i="9"/>
  <c r="L38" i="10"/>
  <c r="K40" i="7" s="1"/>
  <c r="AO38" i="9"/>
  <c r="H38" i="10"/>
  <c r="G40" i="7" s="1"/>
  <c r="F69" i="7" s="1"/>
  <c r="V38" i="10"/>
  <c r="U40" i="7" s="1"/>
  <c r="S38" i="10"/>
  <c r="R40" i="7" s="1"/>
  <c r="R38" i="10"/>
  <c r="Q40" i="7" s="1"/>
  <c r="H102" i="7" s="1"/>
  <c r="AR38" i="9"/>
  <c r="K38" i="10"/>
  <c r="J40" i="7" s="1"/>
  <c r="AQ38" i="9"/>
  <c r="J38" i="10"/>
  <c r="I40" i="7" s="1"/>
  <c r="T38" i="10"/>
  <c r="S40" i="7" s="1"/>
  <c r="I102" i="7" s="1"/>
  <c r="AP38" i="9"/>
  <c r="I38" i="10"/>
  <c r="H40" i="7" s="1"/>
  <c r="G38" i="10"/>
  <c r="F40" i="7" s="1"/>
  <c r="U38" i="10"/>
  <c r="T40" i="7" s="1"/>
  <c r="AW38" i="9"/>
  <c r="Q38" i="10"/>
  <c r="P40" i="7" s="1"/>
  <c r="E39" i="10"/>
  <c r="D41" i="7" s="1"/>
  <c r="AU37" i="9"/>
  <c r="O38" i="10" s="1"/>
  <c r="N40" i="7" s="1"/>
  <c r="F102" i="7" s="1"/>
  <c r="F39" i="10"/>
  <c r="E41" i="7" s="1"/>
  <c r="AV37" i="9"/>
  <c r="P38" i="10" s="1"/>
  <c r="O40" i="7" s="1"/>
  <c r="G102" i="7" s="1"/>
  <c r="AN44" i="9" l="1"/>
  <c r="BB44" i="9"/>
  <c r="AZ44" i="9"/>
  <c r="AY44" i="9"/>
  <c r="O91" i="7"/>
  <c r="P91" i="7" s="1"/>
  <c r="J102" i="7"/>
  <c r="AX44" i="9"/>
  <c r="BA44" i="9"/>
  <c r="X45" i="9"/>
  <c r="Y45" i="9" s="1"/>
  <c r="AB45" i="9" s="1"/>
  <c r="AG45" i="9"/>
  <c r="V45" i="9"/>
  <c r="AL45" i="9" s="1"/>
  <c r="AC45" i="9"/>
  <c r="AD45" i="9" s="1"/>
  <c r="AF45" i="9" s="1"/>
  <c r="W45" i="9"/>
  <c r="AM45" i="9" s="1"/>
  <c r="AE45" i="9"/>
  <c r="Z45" i="9"/>
  <c r="B47" i="9"/>
  <c r="N47" i="9" s="1"/>
  <c r="Q46" i="9"/>
  <c r="E78" i="7" s="1"/>
  <c r="I46" i="9"/>
  <c r="AI46" i="9"/>
  <c r="J46" i="9"/>
  <c r="E46" i="9"/>
  <c r="AA46" i="9"/>
  <c r="S46" i="9"/>
  <c r="L46" i="9"/>
  <c r="T46" i="9"/>
  <c r="R46" i="9"/>
  <c r="F46" i="9"/>
  <c r="G46" i="9"/>
  <c r="P46" i="9"/>
  <c r="O46" i="9"/>
  <c r="M46" i="9"/>
  <c r="K46" i="9"/>
  <c r="H46" i="9"/>
  <c r="J38" i="13"/>
  <c r="O37" i="13"/>
  <c r="I44" i="16" s="1"/>
  <c r="AJ44" i="9"/>
  <c r="AH44" i="9"/>
  <c r="C45" i="9"/>
  <c r="C45" i="10"/>
  <c r="AW39" i="9"/>
  <c r="Q39" i="10"/>
  <c r="P41" i="7" s="1"/>
  <c r="G39" i="10"/>
  <c r="F41" i="7" s="1"/>
  <c r="U39" i="10"/>
  <c r="T41" i="7" s="1"/>
  <c r="AR39" i="9"/>
  <c r="K39" i="10"/>
  <c r="J41" i="7" s="1"/>
  <c r="R39" i="10"/>
  <c r="Q41" i="7" s="1"/>
  <c r="H103" i="7" s="1"/>
  <c r="S39" i="10"/>
  <c r="R41" i="7" s="1"/>
  <c r="AP39" i="9"/>
  <c r="I39" i="10"/>
  <c r="H41" i="7" s="1"/>
  <c r="V39" i="10"/>
  <c r="U41" i="7" s="1"/>
  <c r="J103" i="7" s="1"/>
  <c r="T39" i="10"/>
  <c r="S41" i="7" s="1"/>
  <c r="I103" i="7" s="1"/>
  <c r="AO39" i="9"/>
  <c r="H39" i="10"/>
  <c r="G41" i="7" s="1"/>
  <c r="F70" i="7" s="1"/>
  <c r="AQ39" i="9"/>
  <c r="J39" i="10"/>
  <c r="I41" i="7" s="1"/>
  <c r="AS39" i="9"/>
  <c r="L39" i="10"/>
  <c r="K41" i="7" s="1"/>
  <c r="F40" i="10"/>
  <c r="E42" i="7" s="1"/>
  <c r="AV38" i="9"/>
  <c r="P39" i="10" s="1"/>
  <c r="O41" i="7" s="1"/>
  <c r="G103" i="7" s="1"/>
  <c r="E40" i="10"/>
  <c r="D42" i="7" s="1"/>
  <c r="AU38" i="9"/>
  <c r="O39" i="10" s="1"/>
  <c r="N41" i="7" s="1"/>
  <c r="F103" i="7" s="1"/>
  <c r="BA45" i="9" l="1"/>
  <c r="AX45" i="9"/>
  <c r="AY45" i="9"/>
  <c r="AZ45" i="9"/>
  <c r="BB45" i="9"/>
  <c r="AN45" i="9"/>
  <c r="B48" i="9"/>
  <c r="N48" i="9" s="1"/>
  <c r="M47" i="9"/>
  <c r="F47" i="9"/>
  <c r="E47" i="9"/>
  <c r="Q47" i="9"/>
  <c r="E79" i="7" s="1"/>
  <c r="J47" i="9"/>
  <c r="S47" i="9"/>
  <c r="AI47" i="9"/>
  <c r="G47" i="9"/>
  <c r="P47" i="9"/>
  <c r="O47" i="9"/>
  <c r="I47" i="9"/>
  <c r="T47" i="9"/>
  <c r="L47" i="9"/>
  <c r="R47" i="9"/>
  <c r="K47" i="9"/>
  <c r="AA47" i="9"/>
  <c r="H47" i="9"/>
  <c r="X46" i="9"/>
  <c r="Y46" i="9" s="1"/>
  <c r="AB46" i="9" s="1"/>
  <c r="AG46" i="9"/>
  <c r="W46" i="9"/>
  <c r="AM46" i="9" s="1"/>
  <c r="V46" i="9"/>
  <c r="AL46" i="9" s="1"/>
  <c r="AC46" i="9"/>
  <c r="AD46" i="9" s="1"/>
  <c r="AF46" i="9" s="1"/>
  <c r="J39" i="13"/>
  <c r="O38" i="13"/>
  <c r="I45" i="16" s="1"/>
  <c r="AE46" i="9"/>
  <c r="Z46" i="9"/>
  <c r="AH45" i="9"/>
  <c r="AJ45" i="9"/>
  <c r="C46" i="9"/>
  <c r="C46" i="10"/>
  <c r="R40" i="10"/>
  <c r="Q42" i="7" s="1"/>
  <c r="H104" i="7" s="1"/>
  <c r="AS40" i="9"/>
  <c r="L40" i="10"/>
  <c r="K42" i="7" s="1"/>
  <c r="S40" i="10"/>
  <c r="R42" i="7" s="1"/>
  <c r="U40" i="10"/>
  <c r="T42" i="7" s="1"/>
  <c r="AQ40" i="9"/>
  <c r="J40" i="10"/>
  <c r="I42" i="7" s="1"/>
  <c r="AO40" i="9"/>
  <c r="H40" i="10"/>
  <c r="G42" i="7" s="1"/>
  <c r="F71" i="7" s="1"/>
  <c r="AR40" i="9"/>
  <c r="K40" i="10"/>
  <c r="J42" i="7" s="1"/>
  <c r="T40" i="10"/>
  <c r="S42" i="7" s="1"/>
  <c r="I104" i="7" s="1"/>
  <c r="V40" i="10"/>
  <c r="U42" i="7" s="1"/>
  <c r="J104" i="7" s="1"/>
  <c r="G40" i="10"/>
  <c r="F42" i="7" s="1"/>
  <c r="AP40" i="9"/>
  <c r="I40" i="10"/>
  <c r="H42" i="7" s="1"/>
  <c r="AW40" i="9"/>
  <c r="Q40" i="10"/>
  <c r="P42" i="7" s="1"/>
  <c r="E41" i="10"/>
  <c r="D43" i="7" s="1"/>
  <c r="AU39" i="9"/>
  <c r="O40" i="10" s="1"/>
  <c r="N42" i="7" s="1"/>
  <c r="F104" i="7" s="1"/>
  <c r="F41" i="10"/>
  <c r="E43" i="7" s="1"/>
  <c r="AV39" i="9"/>
  <c r="P40" i="10" s="1"/>
  <c r="O42" i="7" s="1"/>
  <c r="G104" i="7" s="1"/>
  <c r="AN46" i="9" l="1"/>
  <c r="AZ46" i="9"/>
  <c r="BB46" i="9"/>
  <c r="AY46" i="9"/>
  <c r="AX46" i="9"/>
  <c r="BA46" i="9"/>
  <c r="AG47" i="9"/>
  <c r="W47" i="9"/>
  <c r="AM47" i="9" s="1"/>
  <c r="AC47" i="9"/>
  <c r="AD47" i="9" s="1"/>
  <c r="AF47" i="9" s="1"/>
  <c r="V47" i="9"/>
  <c r="AL47" i="9" s="1"/>
  <c r="X47" i="9"/>
  <c r="Y47" i="9" s="1"/>
  <c r="AB47" i="9" s="1"/>
  <c r="AJ46" i="9"/>
  <c r="AH46" i="9"/>
  <c r="J40" i="13"/>
  <c r="O39" i="13"/>
  <c r="I46" i="16" s="1"/>
  <c r="Z47" i="9"/>
  <c r="AE47" i="9"/>
  <c r="B49" i="9"/>
  <c r="N49" i="9" s="1"/>
  <c r="L48" i="9"/>
  <c r="K48" i="9"/>
  <c r="I48" i="9"/>
  <c r="S48" i="9"/>
  <c r="P48" i="9"/>
  <c r="G48" i="9"/>
  <c r="Q48" i="9"/>
  <c r="AI48" i="9"/>
  <c r="F48" i="9"/>
  <c r="AA48" i="9"/>
  <c r="J48" i="9"/>
  <c r="T48" i="9"/>
  <c r="M48" i="9"/>
  <c r="O48" i="9"/>
  <c r="R48" i="9"/>
  <c r="E48" i="9"/>
  <c r="H48" i="9"/>
  <c r="C47" i="9"/>
  <c r="C47" i="10"/>
  <c r="AW41" i="9"/>
  <c r="Q41" i="10"/>
  <c r="P43" i="7" s="1"/>
  <c r="AP41" i="9"/>
  <c r="I41" i="10"/>
  <c r="H43" i="7" s="1"/>
  <c r="AO41" i="9"/>
  <c r="H41" i="10"/>
  <c r="G43" i="7" s="1"/>
  <c r="F72" i="7" s="1"/>
  <c r="AQ41" i="9"/>
  <c r="J41" i="10"/>
  <c r="I43" i="7" s="1"/>
  <c r="G41" i="10"/>
  <c r="F43" i="7" s="1"/>
  <c r="U41" i="10"/>
  <c r="T43" i="7" s="1"/>
  <c r="V41" i="10"/>
  <c r="U43" i="7" s="1"/>
  <c r="J105" i="7" s="1"/>
  <c r="S41" i="10"/>
  <c r="R43" i="7" s="1"/>
  <c r="T41" i="10"/>
  <c r="S43" i="7" s="1"/>
  <c r="I105" i="7" s="1"/>
  <c r="AS41" i="9"/>
  <c r="L41" i="10"/>
  <c r="K43" i="7" s="1"/>
  <c r="AR41" i="9"/>
  <c r="K41" i="10"/>
  <c r="J43" i="7" s="1"/>
  <c r="R41" i="10"/>
  <c r="Q43" i="7" s="1"/>
  <c r="H105" i="7" s="1"/>
  <c r="F42" i="10"/>
  <c r="E44" i="7" s="1"/>
  <c r="AV40" i="9"/>
  <c r="P41" i="10" s="1"/>
  <c r="O43" i="7" s="1"/>
  <c r="G105" i="7" s="1"/>
  <c r="E42" i="10"/>
  <c r="D44" i="7" s="1"/>
  <c r="AU40" i="9"/>
  <c r="O41" i="10" s="1"/>
  <c r="N43" i="7" s="1"/>
  <c r="F105" i="7" s="1"/>
  <c r="E80" i="7" l="1"/>
  <c r="BA47" i="9"/>
  <c r="BB47" i="9"/>
  <c r="AX47" i="9"/>
  <c r="AY47" i="9"/>
  <c r="AZ47" i="9"/>
  <c r="AN47" i="9"/>
  <c r="J41" i="13"/>
  <c r="O40" i="13"/>
  <c r="I47" i="16" s="1"/>
  <c r="AH47" i="9"/>
  <c r="AJ47" i="9"/>
  <c r="AG48" i="9"/>
  <c r="AC48" i="9"/>
  <c r="AD48" i="9" s="1"/>
  <c r="AF48" i="9" s="1"/>
  <c r="W48" i="9"/>
  <c r="AM48" i="9" s="1"/>
  <c r="V48" i="9"/>
  <c r="AL48" i="9" s="1"/>
  <c r="X48" i="9"/>
  <c r="Y48" i="9" s="1"/>
  <c r="AB48" i="9" s="1"/>
  <c r="B50" i="9"/>
  <c r="N50" i="9" s="1"/>
  <c r="AI49" i="9"/>
  <c r="I49" i="9"/>
  <c r="T49" i="9"/>
  <c r="M49" i="9"/>
  <c r="R49" i="9"/>
  <c r="AA49" i="9"/>
  <c r="O49" i="9"/>
  <c r="L49" i="9"/>
  <c r="J49" i="9"/>
  <c r="S49" i="9"/>
  <c r="E49" i="9"/>
  <c r="Q49" i="9"/>
  <c r="G49" i="9"/>
  <c r="P49" i="9"/>
  <c r="K49" i="9"/>
  <c r="F49" i="9"/>
  <c r="H49" i="9"/>
  <c r="AE48" i="9"/>
  <c r="Z48" i="9"/>
  <c r="C48" i="9"/>
  <c r="C48" i="10"/>
  <c r="U42" i="10"/>
  <c r="T44" i="7" s="1"/>
  <c r="AS42" i="9"/>
  <c r="L42" i="10"/>
  <c r="K44" i="7" s="1"/>
  <c r="T42" i="10"/>
  <c r="S44" i="7" s="1"/>
  <c r="I106" i="7" s="1"/>
  <c r="R42" i="10"/>
  <c r="Q44" i="7" s="1"/>
  <c r="H106" i="7" s="1"/>
  <c r="G42" i="10"/>
  <c r="F44" i="7" s="1"/>
  <c r="AR42" i="9"/>
  <c r="K42" i="10"/>
  <c r="J44" i="7" s="1"/>
  <c r="AQ42" i="9"/>
  <c r="J42" i="10"/>
  <c r="I44" i="7" s="1"/>
  <c r="AO42" i="9"/>
  <c r="H42" i="10"/>
  <c r="G44" i="7" s="1"/>
  <c r="F73" i="7" s="1"/>
  <c r="S42" i="10"/>
  <c r="R44" i="7" s="1"/>
  <c r="AP42" i="9"/>
  <c r="I42" i="10"/>
  <c r="H44" i="7" s="1"/>
  <c r="V42" i="10"/>
  <c r="U44" i="7" s="1"/>
  <c r="J106" i="7" s="1"/>
  <c r="AW42" i="9"/>
  <c r="Q42" i="10"/>
  <c r="P44" i="7" s="1"/>
  <c r="E43" i="10"/>
  <c r="D45" i="7" s="1"/>
  <c r="AU41" i="9"/>
  <c r="O42" i="10" s="1"/>
  <c r="N44" i="7" s="1"/>
  <c r="F106" i="7" s="1"/>
  <c r="F43" i="10"/>
  <c r="E45" i="7" s="1"/>
  <c r="AV41" i="9"/>
  <c r="P42" i="10" s="1"/>
  <c r="O44" i="7" s="1"/>
  <c r="G106" i="7" s="1"/>
  <c r="E81" i="7" l="1"/>
  <c r="AZ48" i="9"/>
  <c r="AN48" i="9"/>
  <c r="BB48" i="9"/>
  <c r="AY48" i="9"/>
  <c r="AX48" i="9"/>
  <c r="BA48" i="9"/>
  <c r="B51" i="9"/>
  <c r="N51" i="9" s="1"/>
  <c r="T50" i="9"/>
  <c r="K50" i="9"/>
  <c r="M50" i="9"/>
  <c r="J50" i="9"/>
  <c r="O50" i="9"/>
  <c r="AI50" i="9"/>
  <c r="S50" i="9"/>
  <c r="L50" i="9"/>
  <c r="E50" i="9"/>
  <c r="F50" i="9"/>
  <c r="G50" i="9"/>
  <c r="I50" i="9"/>
  <c r="R50" i="9"/>
  <c r="AA50" i="9"/>
  <c r="Q50" i="9"/>
  <c r="P50" i="9"/>
  <c r="H50" i="9"/>
  <c r="AJ48" i="9"/>
  <c r="AH48" i="9"/>
  <c r="AE49" i="9"/>
  <c r="Z49" i="9"/>
  <c r="AG49" i="9"/>
  <c r="X49" i="9"/>
  <c r="Y49" i="9" s="1"/>
  <c r="AB49" i="9" s="1"/>
  <c r="V49" i="9"/>
  <c r="AL49" i="9" s="1"/>
  <c r="AC49" i="9"/>
  <c r="AD49" i="9" s="1"/>
  <c r="AF49" i="9" s="1"/>
  <c r="W49" i="9"/>
  <c r="AM49" i="9" s="1"/>
  <c r="J42" i="13"/>
  <c r="O41" i="13"/>
  <c r="I48" i="16" s="1"/>
  <c r="R67" i="7"/>
  <c r="R71" i="7" s="1"/>
  <c r="R75" i="7"/>
  <c r="R79" i="7" s="1"/>
  <c r="S67" i="7"/>
  <c r="S71" i="7" s="1"/>
  <c r="S75" i="7"/>
  <c r="S79" i="7" s="1"/>
  <c r="Q75" i="7"/>
  <c r="Q79" i="7" s="1"/>
  <c r="Q67" i="7"/>
  <c r="Q71" i="7" s="1"/>
  <c r="P75" i="7"/>
  <c r="P79" i="7" s="1"/>
  <c r="P67" i="7"/>
  <c r="P71" i="7" s="1"/>
  <c r="T67" i="7"/>
  <c r="T71" i="7" s="1"/>
  <c r="T75" i="7"/>
  <c r="T79" i="7" s="1"/>
  <c r="J73" i="7" s="1"/>
  <c r="C49" i="9"/>
  <c r="C49" i="10"/>
  <c r="AR43" i="9"/>
  <c r="K43" i="10"/>
  <c r="J45" i="7" s="1"/>
  <c r="AW43" i="9"/>
  <c r="Q43" i="10"/>
  <c r="P45" i="7" s="1"/>
  <c r="V43" i="10"/>
  <c r="U45" i="7" s="1"/>
  <c r="J107" i="7" s="1"/>
  <c r="G43" i="10"/>
  <c r="F45" i="7" s="1"/>
  <c r="AP43" i="9"/>
  <c r="I43" i="10"/>
  <c r="H45" i="7" s="1"/>
  <c r="R43" i="10"/>
  <c r="Q45" i="7" s="1"/>
  <c r="H107" i="7" s="1"/>
  <c r="S43" i="10"/>
  <c r="R45" i="7" s="1"/>
  <c r="T43" i="10"/>
  <c r="S45" i="7" s="1"/>
  <c r="I107" i="7" s="1"/>
  <c r="AO43" i="9"/>
  <c r="H43" i="10"/>
  <c r="G45" i="7" s="1"/>
  <c r="F74" i="7" s="1"/>
  <c r="AS43" i="9"/>
  <c r="L43" i="10"/>
  <c r="K45" i="7" s="1"/>
  <c r="AQ43" i="9"/>
  <c r="J43" i="10"/>
  <c r="I45" i="7" s="1"/>
  <c r="U43" i="10"/>
  <c r="T45" i="7" s="1"/>
  <c r="F44" i="10"/>
  <c r="E46" i="7" s="1"/>
  <c r="AV42" i="9"/>
  <c r="P43" i="10" s="1"/>
  <c r="O45" i="7" s="1"/>
  <c r="G107" i="7" s="1"/>
  <c r="E44" i="10"/>
  <c r="D46" i="7" s="1"/>
  <c r="AU42" i="9"/>
  <c r="O43" i="10" s="1"/>
  <c r="N45" i="7" s="1"/>
  <c r="F107" i="7" s="1"/>
  <c r="E82" i="7" l="1"/>
  <c r="BB49" i="9"/>
  <c r="BA49" i="9"/>
  <c r="AX49" i="9"/>
  <c r="AY49" i="9"/>
  <c r="AN49" i="9"/>
  <c r="AZ49" i="9"/>
  <c r="AC50" i="9"/>
  <c r="AD50" i="9" s="1"/>
  <c r="AF50" i="9" s="1"/>
  <c r="X50" i="9"/>
  <c r="Y50" i="9" s="1"/>
  <c r="AB50" i="9" s="1"/>
  <c r="AG50" i="9"/>
  <c r="W50" i="9"/>
  <c r="AM50" i="9" s="1"/>
  <c r="V50" i="9"/>
  <c r="AL50" i="9" s="1"/>
  <c r="Z50" i="9"/>
  <c r="AE50" i="9"/>
  <c r="AJ49" i="9"/>
  <c r="AH49" i="9"/>
  <c r="J43" i="13"/>
  <c r="O42" i="13"/>
  <c r="I49" i="16" s="1"/>
  <c r="B52" i="9"/>
  <c r="N52" i="9" s="1"/>
  <c r="R51" i="9"/>
  <c r="F51" i="9"/>
  <c r="M51" i="9"/>
  <c r="AA51" i="9"/>
  <c r="O51" i="9"/>
  <c r="Q51" i="9"/>
  <c r="P51" i="9"/>
  <c r="I51" i="9"/>
  <c r="E51" i="9"/>
  <c r="J51" i="9"/>
  <c r="T51" i="9"/>
  <c r="G51" i="9"/>
  <c r="AI51" i="9"/>
  <c r="S51" i="9"/>
  <c r="K51" i="9"/>
  <c r="L51" i="9"/>
  <c r="H51" i="9"/>
  <c r="J70" i="7"/>
  <c r="J82" i="7"/>
  <c r="J66" i="7"/>
  <c r="J79" i="7"/>
  <c r="J68" i="7"/>
  <c r="J71" i="7"/>
  <c r="J83" i="7"/>
  <c r="J80" i="7"/>
  <c r="J72" i="7"/>
  <c r="J84" i="7"/>
  <c r="J85" i="7"/>
  <c r="J75" i="7"/>
  <c r="J76" i="7"/>
  <c r="J88" i="7"/>
  <c r="J65" i="7"/>
  <c r="J78" i="7"/>
  <c r="J69" i="7"/>
  <c r="J74" i="7"/>
  <c r="J86" i="7"/>
  <c r="J87" i="7"/>
  <c r="J77" i="7"/>
  <c r="J67" i="7"/>
  <c r="J81" i="7"/>
  <c r="I70" i="7"/>
  <c r="I82" i="7"/>
  <c r="I77" i="7"/>
  <c r="I78" i="7"/>
  <c r="I68" i="7"/>
  <c r="I71" i="7"/>
  <c r="I83" i="7"/>
  <c r="I72" i="7"/>
  <c r="I84" i="7"/>
  <c r="I66" i="7"/>
  <c r="I67" i="7"/>
  <c r="I73" i="7"/>
  <c r="I85" i="7"/>
  <c r="I75" i="7"/>
  <c r="I88" i="7"/>
  <c r="I65" i="7"/>
  <c r="I79" i="7"/>
  <c r="I81" i="7"/>
  <c r="I74" i="7"/>
  <c r="I86" i="7"/>
  <c r="I87" i="7"/>
  <c r="I76" i="7"/>
  <c r="I80" i="7"/>
  <c r="I69" i="7"/>
  <c r="C50" i="9"/>
  <c r="C50" i="10"/>
  <c r="U44" i="10"/>
  <c r="T46" i="7" s="1"/>
  <c r="R44" i="10"/>
  <c r="Q46" i="7" s="1"/>
  <c r="H108" i="7" s="1"/>
  <c r="AQ44" i="9"/>
  <c r="J44" i="10"/>
  <c r="I46" i="7" s="1"/>
  <c r="AP44" i="9"/>
  <c r="I44" i="10"/>
  <c r="H46" i="7" s="1"/>
  <c r="AS44" i="9"/>
  <c r="L44" i="10"/>
  <c r="K46" i="7" s="1"/>
  <c r="G44" i="10"/>
  <c r="F46" i="7" s="1"/>
  <c r="AO44" i="9"/>
  <c r="H44" i="10"/>
  <c r="G46" i="7" s="1"/>
  <c r="F75" i="7" s="1"/>
  <c r="V44" i="10"/>
  <c r="U46" i="7" s="1"/>
  <c r="J108" i="7" s="1"/>
  <c r="T44" i="10"/>
  <c r="S46" i="7" s="1"/>
  <c r="I108" i="7" s="1"/>
  <c r="AW44" i="9"/>
  <c r="Q44" i="10"/>
  <c r="P46" i="7" s="1"/>
  <c r="S44" i="10"/>
  <c r="R46" i="7" s="1"/>
  <c r="AR44" i="9"/>
  <c r="K44" i="10"/>
  <c r="J46" i="7" s="1"/>
  <c r="E45" i="10"/>
  <c r="D47" i="7" s="1"/>
  <c r="AU43" i="9"/>
  <c r="O44" i="10" s="1"/>
  <c r="N46" i="7" s="1"/>
  <c r="F108" i="7" s="1"/>
  <c r="F45" i="10"/>
  <c r="E47" i="7" s="1"/>
  <c r="AV43" i="9"/>
  <c r="P44" i="10" s="1"/>
  <c r="O46" i="7" s="1"/>
  <c r="G108" i="7" s="1"/>
  <c r="E83" i="7" l="1"/>
  <c r="AZ50" i="9"/>
  <c r="AN50" i="9"/>
  <c r="BB50" i="9"/>
  <c r="AY50" i="9"/>
  <c r="AX50" i="9"/>
  <c r="BA50" i="9"/>
  <c r="O43" i="13"/>
  <c r="I50" i="16" s="1"/>
  <c r="J44" i="13"/>
  <c r="AC51" i="9"/>
  <c r="AD51" i="9" s="1"/>
  <c r="AF51" i="9" s="1"/>
  <c r="X51" i="9"/>
  <c r="Y51" i="9" s="1"/>
  <c r="AB51" i="9" s="1"/>
  <c r="AG51" i="9"/>
  <c r="V51" i="9"/>
  <c r="AL51" i="9" s="1"/>
  <c r="W51" i="9"/>
  <c r="AM51" i="9" s="1"/>
  <c r="B53" i="9"/>
  <c r="N53" i="9" s="1"/>
  <c r="AA52" i="9"/>
  <c r="O52" i="9"/>
  <c r="Q52" i="9"/>
  <c r="G52" i="9"/>
  <c r="P52" i="9"/>
  <c r="J52" i="9"/>
  <c r="I52" i="9"/>
  <c r="L52" i="9"/>
  <c r="E52" i="9"/>
  <c r="T52" i="9"/>
  <c r="M52" i="9"/>
  <c r="S52" i="9"/>
  <c r="K52" i="9"/>
  <c r="AI52" i="9"/>
  <c r="R52" i="9"/>
  <c r="F52" i="9"/>
  <c r="H52" i="9"/>
  <c r="Z51" i="9"/>
  <c r="AE51" i="9"/>
  <c r="AJ50" i="9"/>
  <c r="AH50" i="9"/>
  <c r="C51" i="9"/>
  <c r="C51" i="10"/>
  <c r="AR45" i="9"/>
  <c r="K45" i="10"/>
  <c r="J47" i="7" s="1"/>
  <c r="AW45" i="9"/>
  <c r="Q45" i="10"/>
  <c r="P47" i="7" s="1"/>
  <c r="AQ45" i="9"/>
  <c r="J45" i="10"/>
  <c r="I47" i="7" s="1"/>
  <c r="G45" i="10"/>
  <c r="F47" i="7" s="1"/>
  <c r="S45" i="10"/>
  <c r="R47" i="7" s="1"/>
  <c r="AS45" i="9"/>
  <c r="L45" i="10"/>
  <c r="K47" i="7" s="1"/>
  <c r="AP45" i="9"/>
  <c r="I45" i="10"/>
  <c r="H47" i="7" s="1"/>
  <c r="T45" i="10"/>
  <c r="S47" i="7" s="1"/>
  <c r="I109" i="7" s="1"/>
  <c r="V45" i="10"/>
  <c r="U47" i="7" s="1"/>
  <c r="J109" i="7" s="1"/>
  <c r="R45" i="10"/>
  <c r="Q47" i="7" s="1"/>
  <c r="H109" i="7" s="1"/>
  <c r="AO45" i="9"/>
  <c r="H45" i="10"/>
  <c r="G47" i="7" s="1"/>
  <c r="F76" i="7" s="1"/>
  <c r="U45" i="10"/>
  <c r="T47" i="7" s="1"/>
  <c r="F46" i="10"/>
  <c r="E48" i="7" s="1"/>
  <c r="AV44" i="9"/>
  <c r="P45" i="10" s="1"/>
  <c r="O47" i="7" s="1"/>
  <c r="G109" i="7" s="1"/>
  <c r="E46" i="10"/>
  <c r="D48" i="7" s="1"/>
  <c r="AU44" i="9"/>
  <c r="O45" i="10" s="1"/>
  <c r="N47" i="7" s="1"/>
  <c r="F109" i="7" s="1"/>
  <c r="E84" i="7" l="1"/>
  <c r="BA51" i="9"/>
  <c r="AY51" i="9"/>
  <c r="AX51" i="9"/>
  <c r="BB51" i="9"/>
  <c r="AN51" i="9"/>
  <c r="AZ51" i="9"/>
  <c r="B54" i="9"/>
  <c r="N54" i="9" s="1"/>
  <c r="P53" i="9"/>
  <c r="AI53" i="9"/>
  <c r="AA53" i="9"/>
  <c r="G53" i="9"/>
  <c r="O53" i="9"/>
  <c r="F53" i="9"/>
  <c r="E53" i="9"/>
  <c r="Q53" i="9"/>
  <c r="R53" i="9"/>
  <c r="L53" i="9"/>
  <c r="I53" i="9"/>
  <c r="J53" i="9"/>
  <c r="T53" i="9"/>
  <c r="S53" i="9"/>
  <c r="M53" i="9"/>
  <c r="K53" i="9"/>
  <c r="H53" i="9"/>
  <c r="Z52" i="9"/>
  <c r="AE52" i="9"/>
  <c r="AJ51" i="9"/>
  <c r="AH51" i="9"/>
  <c r="J45" i="13"/>
  <c r="O44" i="13"/>
  <c r="I51" i="16" s="1"/>
  <c r="V52" i="9"/>
  <c r="AL52" i="9" s="1"/>
  <c r="X52" i="9"/>
  <c r="Y52" i="9" s="1"/>
  <c r="AB52" i="9" s="1"/>
  <c r="AC52" i="9"/>
  <c r="AD52" i="9" s="1"/>
  <c r="AF52" i="9" s="1"/>
  <c r="AG52" i="9"/>
  <c r="W52" i="9"/>
  <c r="AM52" i="9" s="1"/>
  <c r="C52" i="9"/>
  <c r="C52" i="10"/>
  <c r="U46" i="10"/>
  <c r="T48" i="7" s="1"/>
  <c r="AS46" i="9"/>
  <c r="L46" i="10"/>
  <c r="K48" i="7" s="1"/>
  <c r="AO46" i="9"/>
  <c r="H46" i="10"/>
  <c r="G48" i="7" s="1"/>
  <c r="F77" i="7" s="1"/>
  <c r="S46" i="10"/>
  <c r="R48" i="7" s="1"/>
  <c r="R46" i="10"/>
  <c r="Q48" i="7" s="1"/>
  <c r="H110" i="7" s="1"/>
  <c r="G46" i="10"/>
  <c r="F48" i="7" s="1"/>
  <c r="V46" i="10"/>
  <c r="U48" i="7" s="1"/>
  <c r="J110" i="7" s="1"/>
  <c r="AQ46" i="9"/>
  <c r="J46" i="10"/>
  <c r="I48" i="7" s="1"/>
  <c r="T46" i="10"/>
  <c r="S48" i="7" s="1"/>
  <c r="I110" i="7" s="1"/>
  <c r="AW46" i="9"/>
  <c r="Q46" i="10"/>
  <c r="P48" i="7" s="1"/>
  <c r="AP46" i="9"/>
  <c r="I46" i="10"/>
  <c r="H48" i="7" s="1"/>
  <c r="AR46" i="9"/>
  <c r="K46" i="10"/>
  <c r="J48" i="7" s="1"/>
  <c r="E47" i="10"/>
  <c r="D49" i="7" s="1"/>
  <c r="M21" i="7" s="1"/>
  <c r="AU45" i="9"/>
  <c r="O46" i="10" s="1"/>
  <c r="N48" i="7" s="1"/>
  <c r="F110" i="7" s="1"/>
  <c r="F47" i="10"/>
  <c r="E49" i="7" s="1"/>
  <c r="M22" i="7" s="1"/>
  <c r="AV45" i="9"/>
  <c r="P46" i="10" s="1"/>
  <c r="O48" i="7" s="1"/>
  <c r="G110" i="7" s="1"/>
  <c r="E85" i="7" l="1"/>
  <c r="AZ52" i="9"/>
  <c r="BB52" i="9"/>
  <c r="AN52" i="9"/>
  <c r="AX52" i="9"/>
  <c r="AY52" i="9"/>
  <c r="BA52" i="9"/>
  <c r="J46" i="13"/>
  <c r="O45" i="13"/>
  <c r="I52" i="16" s="1"/>
  <c r="Z53" i="9"/>
  <c r="AE53" i="9"/>
  <c r="W53" i="9"/>
  <c r="AM53" i="9" s="1"/>
  <c r="AC53" i="9"/>
  <c r="AD53" i="9" s="1"/>
  <c r="AF53" i="9" s="1"/>
  <c r="AG53" i="9"/>
  <c r="X53" i="9"/>
  <c r="Y53" i="9" s="1"/>
  <c r="AB53" i="9" s="1"/>
  <c r="V53" i="9"/>
  <c r="AL53" i="9" s="1"/>
  <c r="AJ52" i="9"/>
  <c r="AH52" i="9"/>
  <c r="B55" i="9"/>
  <c r="N55" i="9" s="1"/>
  <c r="J54" i="9"/>
  <c r="H54" i="9"/>
  <c r="S54" i="9"/>
  <c r="F54" i="9"/>
  <c r="O54" i="9"/>
  <c r="K54" i="9"/>
  <c r="P54" i="9"/>
  <c r="T54" i="9"/>
  <c r="R54" i="9"/>
  <c r="M54" i="9"/>
  <c r="E54" i="9"/>
  <c r="G54" i="9"/>
  <c r="Q54" i="9"/>
  <c r="E86" i="7" s="1"/>
  <c r="I54" i="9"/>
  <c r="AI54" i="9"/>
  <c r="L54" i="9"/>
  <c r="AA54" i="9"/>
  <c r="C53" i="9"/>
  <c r="C53" i="10"/>
  <c r="AW47" i="9"/>
  <c r="Q47" i="10"/>
  <c r="P49" i="7" s="1"/>
  <c r="N23" i="7" s="1"/>
  <c r="T47" i="10"/>
  <c r="S49" i="7" s="1"/>
  <c r="N26" i="7" s="1"/>
  <c r="AR47" i="9"/>
  <c r="K47" i="10"/>
  <c r="J49" i="7" s="1"/>
  <c r="M27" i="7" s="1"/>
  <c r="G47" i="10"/>
  <c r="F49" i="7" s="1"/>
  <c r="M23" i="7" s="1"/>
  <c r="AP47" i="9"/>
  <c r="I47" i="10"/>
  <c r="H49" i="7" s="1"/>
  <c r="M25" i="7" s="1"/>
  <c r="R47" i="10"/>
  <c r="Q49" i="7" s="1"/>
  <c r="N24" i="7" s="1"/>
  <c r="S47" i="10"/>
  <c r="R49" i="7" s="1"/>
  <c r="N25" i="7" s="1"/>
  <c r="AO47" i="9"/>
  <c r="H47" i="10"/>
  <c r="G49" i="7" s="1"/>
  <c r="M24" i="7" s="1"/>
  <c r="AQ47" i="9"/>
  <c r="J47" i="10"/>
  <c r="I49" i="7" s="1"/>
  <c r="M26" i="7" s="1"/>
  <c r="AS47" i="9"/>
  <c r="L47" i="10"/>
  <c r="K49" i="7" s="1"/>
  <c r="M28" i="7" s="1"/>
  <c r="V47" i="10"/>
  <c r="U49" i="7" s="1"/>
  <c r="N28" i="7" s="1"/>
  <c r="U47" i="10"/>
  <c r="T49" i="7" s="1"/>
  <c r="N27" i="7" s="1"/>
  <c r="F48" i="10"/>
  <c r="E50" i="7" s="1"/>
  <c r="AV46" i="9"/>
  <c r="P47" i="10" s="1"/>
  <c r="O49" i="7" s="1"/>
  <c r="N22" i="7" s="1"/>
  <c r="E48" i="10"/>
  <c r="D50" i="7" s="1"/>
  <c r="AU46" i="9"/>
  <c r="O47" i="10" s="1"/>
  <c r="N49" i="7" s="1"/>
  <c r="N21" i="7" s="1"/>
  <c r="BA53" i="9" l="1"/>
  <c r="I111" i="7"/>
  <c r="J111" i="7"/>
  <c r="AY53" i="9"/>
  <c r="AX53" i="9"/>
  <c r="F78" i="7"/>
  <c r="F111" i="7"/>
  <c r="AZ53" i="9"/>
  <c r="H111" i="7"/>
  <c r="BB53" i="9"/>
  <c r="G111" i="7"/>
  <c r="AN53" i="9"/>
  <c r="W54" i="9"/>
  <c r="AM54" i="9" s="1"/>
  <c r="AC54" i="9"/>
  <c r="AD54" i="9" s="1"/>
  <c r="AF54" i="9" s="1"/>
  <c r="X54" i="9"/>
  <c r="Y54" i="9" s="1"/>
  <c r="AB54" i="9" s="1"/>
  <c r="AG54" i="9"/>
  <c r="V54" i="9"/>
  <c r="AL54" i="9" s="1"/>
  <c r="AH53" i="9"/>
  <c r="AJ53" i="9"/>
  <c r="AE54" i="9"/>
  <c r="Z54" i="9"/>
  <c r="B56" i="9"/>
  <c r="N56" i="9" s="1"/>
  <c r="G55" i="9"/>
  <c r="I55" i="9"/>
  <c r="M55" i="9"/>
  <c r="J55" i="9"/>
  <c r="O55" i="9"/>
  <c r="AI55" i="9"/>
  <c r="T55" i="9"/>
  <c r="F55" i="9"/>
  <c r="E55" i="9"/>
  <c r="S55" i="9"/>
  <c r="P55" i="9"/>
  <c r="K55" i="9"/>
  <c r="Q55" i="9"/>
  <c r="E87" i="7" s="1"/>
  <c r="L55" i="9"/>
  <c r="AA55" i="9"/>
  <c r="R55" i="9"/>
  <c r="H55" i="9"/>
  <c r="J47" i="13"/>
  <c r="O46" i="13"/>
  <c r="I53" i="16" s="1"/>
  <c r="P76" i="7"/>
  <c r="P80" i="7" s="1"/>
  <c r="P68" i="7"/>
  <c r="P72" i="7" s="1"/>
  <c r="S76" i="7"/>
  <c r="S80" i="7" s="1"/>
  <c r="S68" i="7"/>
  <c r="S72" i="7" s="1"/>
  <c r="Q68" i="7"/>
  <c r="Q72" i="7" s="1"/>
  <c r="Q76" i="7"/>
  <c r="Q80" i="7" s="1"/>
  <c r="R68" i="7"/>
  <c r="R72" i="7" s="1"/>
  <c r="R76" i="7"/>
  <c r="R80" i="7" s="1"/>
  <c r="T68" i="7"/>
  <c r="T72" i="7" s="1"/>
  <c r="T76" i="7"/>
  <c r="T80" i="7" s="1"/>
  <c r="C54" i="9"/>
  <c r="C54" i="10"/>
  <c r="U48" i="10"/>
  <c r="T50" i="7" s="1"/>
  <c r="R48" i="10"/>
  <c r="Q50" i="7" s="1"/>
  <c r="H112" i="7" s="1"/>
  <c r="V48" i="10"/>
  <c r="U50" i="7" s="1"/>
  <c r="J112" i="7" s="1"/>
  <c r="AP48" i="9"/>
  <c r="I48" i="10"/>
  <c r="H50" i="7" s="1"/>
  <c r="AS48" i="9"/>
  <c r="L48" i="10"/>
  <c r="K50" i="7" s="1"/>
  <c r="G48" i="10"/>
  <c r="F50" i="7" s="1"/>
  <c r="AQ48" i="9"/>
  <c r="J48" i="10"/>
  <c r="I50" i="7" s="1"/>
  <c r="AR48" i="9"/>
  <c r="K48" i="10"/>
  <c r="J50" i="7" s="1"/>
  <c r="AO48" i="9"/>
  <c r="H48" i="10"/>
  <c r="G50" i="7" s="1"/>
  <c r="F79" i="7" s="1"/>
  <c r="T48" i="10"/>
  <c r="S50" i="7" s="1"/>
  <c r="I112" i="7" s="1"/>
  <c r="S48" i="10"/>
  <c r="R50" i="7" s="1"/>
  <c r="AW48" i="9"/>
  <c r="Q48" i="10"/>
  <c r="P50" i="7" s="1"/>
  <c r="E49" i="10"/>
  <c r="D51" i="7" s="1"/>
  <c r="AU47" i="9"/>
  <c r="O48" i="10" s="1"/>
  <c r="N50" i="7" s="1"/>
  <c r="F112" i="7" s="1"/>
  <c r="F49" i="10"/>
  <c r="E51" i="7" s="1"/>
  <c r="AV47" i="9"/>
  <c r="P48" i="10" s="1"/>
  <c r="O50" i="7" s="1"/>
  <c r="G112" i="7" s="1"/>
  <c r="AX54" i="9" l="1"/>
  <c r="AN54" i="9"/>
  <c r="BA54" i="9"/>
  <c r="AY54" i="9"/>
  <c r="BB54" i="9"/>
  <c r="AZ54" i="9"/>
  <c r="J56" i="9"/>
  <c r="F56" i="9"/>
  <c r="G56" i="9"/>
  <c r="T56" i="9"/>
  <c r="P56" i="9"/>
  <c r="I56" i="9"/>
  <c r="AA56" i="9"/>
  <c r="K56" i="9"/>
  <c r="Q56" i="9"/>
  <c r="M56" i="9"/>
  <c r="E56" i="9"/>
  <c r="O56" i="9"/>
  <c r="L56" i="9"/>
  <c r="S56" i="9"/>
  <c r="AI56" i="9"/>
  <c r="R56" i="9"/>
  <c r="H56" i="9"/>
  <c r="Z55" i="9"/>
  <c r="AE55" i="9"/>
  <c r="AG55" i="9"/>
  <c r="W55" i="9"/>
  <c r="AM55" i="9" s="1"/>
  <c r="AC55" i="9"/>
  <c r="AD55" i="9" s="1"/>
  <c r="AF55" i="9" s="1"/>
  <c r="X55" i="9"/>
  <c r="Y55" i="9" s="1"/>
  <c r="AB55" i="9" s="1"/>
  <c r="J48" i="13"/>
  <c r="O48" i="13" s="1"/>
  <c r="I55" i="16" s="1"/>
  <c r="O47" i="13"/>
  <c r="I54" i="16" s="1"/>
  <c r="AJ54" i="9"/>
  <c r="AH54" i="9"/>
  <c r="V55" i="9"/>
  <c r="AL55" i="9" s="1"/>
  <c r="C55" i="9"/>
  <c r="C55" i="10"/>
  <c r="T49" i="10"/>
  <c r="S51" i="7" s="1"/>
  <c r="I113" i="7" s="1"/>
  <c r="AW49" i="9"/>
  <c r="Q49" i="10"/>
  <c r="P51" i="7" s="1"/>
  <c r="AO49" i="9"/>
  <c r="H49" i="10"/>
  <c r="G51" i="7" s="1"/>
  <c r="F80" i="7" s="1"/>
  <c r="G49" i="10"/>
  <c r="F51" i="7" s="1"/>
  <c r="S49" i="10"/>
  <c r="R51" i="7" s="1"/>
  <c r="AS49" i="9"/>
  <c r="L49" i="10"/>
  <c r="K51" i="7" s="1"/>
  <c r="AP49" i="9"/>
  <c r="I49" i="10"/>
  <c r="H51" i="7" s="1"/>
  <c r="V49" i="10"/>
  <c r="U51" i="7" s="1"/>
  <c r="J113" i="7" s="1"/>
  <c r="AR49" i="9"/>
  <c r="K49" i="10"/>
  <c r="J51" i="7" s="1"/>
  <c r="R49" i="10"/>
  <c r="Q51" i="7" s="1"/>
  <c r="H113" i="7" s="1"/>
  <c r="AQ49" i="9"/>
  <c r="J49" i="10"/>
  <c r="I51" i="7" s="1"/>
  <c r="U49" i="10"/>
  <c r="T51" i="7" s="1"/>
  <c r="F50" i="10"/>
  <c r="E52" i="7" s="1"/>
  <c r="AV48" i="9"/>
  <c r="P49" i="10" s="1"/>
  <c r="O51" i="7" s="1"/>
  <c r="G113" i="7" s="1"/>
  <c r="E50" i="10"/>
  <c r="D52" i="7" s="1"/>
  <c r="AU48" i="9"/>
  <c r="O49" i="10" s="1"/>
  <c r="N51" i="7" s="1"/>
  <c r="F113" i="7" s="1"/>
  <c r="E88" i="7" l="1"/>
  <c r="G20" i="16"/>
  <c r="G21" i="16"/>
  <c r="G22" i="16"/>
  <c r="AZ55" i="9"/>
  <c r="AY55" i="9"/>
  <c r="BA55" i="9"/>
  <c r="AN55" i="9"/>
  <c r="BB55" i="9"/>
  <c r="AX55" i="9"/>
  <c r="AG56" i="9"/>
  <c r="V56" i="9"/>
  <c r="AL56" i="9" s="1"/>
  <c r="AC56" i="9"/>
  <c r="AD56" i="9" s="1"/>
  <c r="AF56" i="9" s="1"/>
  <c r="W56" i="9"/>
  <c r="AM56" i="9" s="1"/>
  <c r="X56" i="9"/>
  <c r="Y56" i="9" s="1"/>
  <c r="AB56" i="9" s="1"/>
  <c r="AJ55" i="9"/>
  <c r="AH55" i="9"/>
  <c r="Z56" i="9"/>
  <c r="AE56" i="9"/>
  <c r="C56" i="9"/>
  <c r="C57" i="10" s="1"/>
  <c r="C56" i="10"/>
  <c r="AS50" i="9"/>
  <c r="L50" i="10"/>
  <c r="K52" i="7" s="1"/>
  <c r="U50" i="10"/>
  <c r="T52" i="7" s="1"/>
  <c r="AQ50" i="9"/>
  <c r="J50" i="10"/>
  <c r="I52" i="7" s="1"/>
  <c r="S50" i="10"/>
  <c r="R52" i="7" s="1"/>
  <c r="R50" i="10"/>
  <c r="Q52" i="7" s="1"/>
  <c r="H114" i="7" s="1"/>
  <c r="G50" i="10"/>
  <c r="F52" i="7" s="1"/>
  <c r="AR50" i="9"/>
  <c r="K50" i="10"/>
  <c r="J52" i="7" s="1"/>
  <c r="AO50" i="9"/>
  <c r="H50" i="10"/>
  <c r="G52" i="7" s="1"/>
  <c r="F81" i="7" s="1"/>
  <c r="V50" i="10"/>
  <c r="U52" i="7" s="1"/>
  <c r="J114" i="7" s="1"/>
  <c r="AW50" i="9"/>
  <c r="Q50" i="10"/>
  <c r="P52" i="7" s="1"/>
  <c r="AP50" i="9"/>
  <c r="I50" i="10"/>
  <c r="H52" i="7" s="1"/>
  <c r="T50" i="10"/>
  <c r="S52" i="7" s="1"/>
  <c r="I114" i="7" s="1"/>
  <c r="E51" i="10"/>
  <c r="D53" i="7" s="1"/>
  <c r="AU49" i="9"/>
  <c r="O50" i="10" s="1"/>
  <c r="N52" i="7" s="1"/>
  <c r="F114" i="7" s="1"/>
  <c r="F51" i="10"/>
  <c r="E53" i="7" s="1"/>
  <c r="AV49" i="9"/>
  <c r="P50" i="10" s="1"/>
  <c r="O52" i="7" s="1"/>
  <c r="G114" i="7" s="1"/>
  <c r="AX56" i="9" l="1"/>
  <c r="AN56" i="9"/>
  <c r="BB56" i="9"/>
  <c r="BA56" i="9"/>
  <c r="AY56" i="9"/>
  <c r="AZ56" i="9"/>
  <c r="AJ56" i="9"/>
  <c r="AH56" i="9"/>
  <c r="R51" i="10"/>
  <c r="Q53" i="7" s="1"/>
  <c r="H115" i="7" s="1"/>
  <c r="V51" i="10"/>
  <c r="U53" i="7" s="1"/>
  <c r="J115" i="7" s="1"/>
  <c r="AQ51" i="9"/>
  <c r="J51" i="10"/>
  <c r="I53" i="7" s="1"/>
  <c r="AP51" i="9"/>
  <c r="I51" i="10"/>
  <c r="H53" i="7" s="1"/>
  <c r="G51" i="10"/>
  <c r="F53" i="7" s="1"/>
  <c r="S51" i="10"/>
  <c r="R53" i="7" s="1"/>
  <c r="AO51" i="9"/>
  <c r="H51" i="10"/>
  <c r="G53" i="7" s="1"/>
  <c r="F82" i="7" s="1"/>
  <c r="T51" i="10"/>
  <c r="S53" i="7" s="1"/>
  <c r="I115" i="7" s="1"/>
  <c r="AW51" i="9"/>
  <c r="Q51" i="10"/>
  <c r="P53" i="7" s="1"/>
  <c r="U51" i="10"/>
  <c r="T53" i="7" s="1"/>
  <c r="AR51" i="9"/>
  <c r="K51" i="10"/>
  <c r="J53" i="7" s="1"/>
  <c r="AS51" i="9"/>
  <c r="L51" i="10"/>
  <c r="K53" i="7" s="1"/>
  <c r="F52" i="10"/>
  <c r="E54" i="7" s="1"/>
  <c r="AV50" i="9"/>
  <c r="P51" i="10" s="1"/>
  <c r="O53" i="7" s="1"/>
  <c r="G115" i="7" s="1"/>
  <c r="E52" i="10"/>
  <c r="D54" i="7" s="1"/>
  <c r="AU50" i="9"/>
  <c r="O51" i="10" s="1"/>
  <c r="N53" i="7" s="1"/>
  <c r="F115" i="7" s="1"/>
  <c r="AS52" i="9" l="1"/>
  <c r="L52" i="10"/>
  <c r="K54" i="7" s="1"/>
  <c r="U52" i="10"/>
  <c r="T54" i="7" s="1"/>
  <c r="AQ52" i="9"/>
  <c r="J52" i="10"/>
  <c r="I54" i="7" s="1"/>
  <c r="S52" i="10"/>
  <c r="R54" i="7" s="1"/>
  <c r="AR52" i="9"/>
  <c r="K52" i="10"/>
  <c r="J54" i="7" s="1"/>
  <c r="G52" i="10"/>
  <c r="F54" i="7" s="1"/>
  <c r="AP52" i="9"/>
  <c r="I52" i="10"/>
  <c r="H54" i="7" s="1"/>
  <c r="AW52" i="9"/>
  <c r="Q52" i="10"/>
  <c r="P54" i="7" s="1"/>
  <c r="T52" i="10"/>
  <c r="S54" i="7" s="1"/>
  <c r="I116" i="7" s="1"/>
  <c r="V52" i="10"/>
  <c r="U54" i="7" s="1"/>
  <c r="J116" i="7" s="1"/>
  <c r="AO52" i="9"/>
  <c r="H52" i="10"/>
  <c r="G54" i="7" s="1"/>
  <c r="F83" i="7" s="1"/>
  <c r="R52" i="10"/>
  <c r="Q54" i="7" s="1"/>
  <c r="H116" i="7" s="1"/>
  <c r="E53" i="10"/>
  <c r="D55" i="7" s="1"/>
  <c r="AU51" i="9"/>
  <c r="O52" i="10" s="1"/>
  <c r="N54" i="7" s="1"/>
  <c r="F116" i="7" s="1"/>
  <c r="F53" i="10"/>
  <c r="E55" i="7" s="1"/>
  <c r="AV51" i="9"/>
  <c r="P52" i="10" s="1"/>
  <c r="O54" i="7" s="1"/>
  <c r="G116" i="7" s="1"/>
  <c r="T69" i="7" l="1"/>
  <c r="T73" i="7" s="1"/>
  <c r="T77" i="7"/>
  <c r="T81" i="7" s="1"/>
  <c r="S77" i="7"/>
  <c r="S81" i="7" s="1"/>
  <c r="S69" i="7"/>
  <c r="S73" i="7" s="1"/>
  <c r="Q77" i="7"/>
  <c r="Q81" i="7" s="1"/>
  <c r="K65" i="7" s="1"/>
  <c r="Q69" i="7"/>
  <c r="Q73" i="7" s="1"/>
  <c r="P77" i="7"/>
  <c r="P81" i="7" s="1"/>
  <c r="P69" i="7"/>
  <c r="P73" i="7" s="1"/>
  <c r="R69" i="7"/>
  <c r="R73" i="7" s="1"/>
  <c r="R77" i="7"/>
  <c r="R81" i="7" s="1"/>
  <c r="AR53" i="9"/>
  <c r="K53" i="10"/>
  <c r="J55" i="7" s="1"/>
  <c r="R53" i="10"/>
  <c r="Q55" i="7" s="1"/>
  <c r="H117" i="7" s="1"/>
  <c r="G53" i="10"/>
  <c r="F55" i="7" s="1"/>
  <c r="AO53" i="9"/>
  <c r="H53" i="10"/>
  <c r="G55" i="7" s="1"/>
  <c r="F84" i="7" s="1"/>
  <c r="V53" i="10"/>
  <c r="U55" i="7" s="1"/>
  <c r="J117" i="7" s="1"/>
  <c r="S53" i="10"/>
  <c r="R55" i="7" s="1"/>
  <c r="T53" i="10"/>
  <c r="S55" i="7" s="1"/>
  <c r="I117" i="7" s="1"/>
  <c r="AQ53" i="9"/>
  <c r="J53" i="10"/>
  <c r="I55" i="7" s="1"/>
  <c r="AW53" i="9"/>
  <c r="Q53" i="10"/>
  <c r="P55" i="7" s="1"/>
  <c r="U53" i="10"/>
  <c r="T55" i="7" s="1"/>
  <c r="AP53" i="9"/>
  <c r="I53" i="10"/>
  <c r="H55" i="7" s="1"/>
  <c r="AS53" i="9"/>
  <c r="L53" i="10"/>
  <c r="K55" i="7" s="1"/>
  <c r="F54" i="10"/>
  <c r="E56" i="7" s="1"/>
  <c r="AV52" i="9"/>
  <c r="P53" i="10" s="1"/>
  <c r="O55" i="7" s="1"/>
  <c r="G117" i="7" s="1"/>
  <c r="E54" i="10"/>
  <c r="D56" i="7" s="1"/>
  <c r="AU52" i="9"/>
  <c r="O53" i="10" s="1"/>
  <c r="N55" i="7" s="1"/>
  <c r="F117" i="7" s="1"/>
  <c r="L66" i="7" l="1"/>
  <c r="L67" i="7"/>
  <c r="L68" i="7"/>
  <c r="L69" i="7"/>
  <c r="L70" i="7"/>
  <c r="L82" i="7"/>
  <c r="L71" i="7"/>
  <c r="L83" i="7"/>
  <c r="L72" i="7"/>
  <c r="L84" i="7"/>
  <c r="L65" i="7"/>
  <c r="L78" i="7"/>
  <c r="L73" i="7"/>
  <c r="L85" i="7"/>
  <c r="L87" i="7"/>
  <c r="L88" i="7"/>
  <c r="L79" i="7"/>
  <c r="L74" i="7"/>
  <c r="L86" i="7"/>
  <c r="L80" i="7"/>
  <c r="L81" i="7"/>
  <c r="L75" i="7"/>
  <c r="L76" i="7"/>
  <c r="L77" i="7"/>
  <c r="K71" i="7"/>
  <c r="K83" i="7"/>
  <c r="K78" i="7"/>
  <c r="K79" i="7"/>
  <c r="K68" i="7"/>
  <c r="K72" i="7"/>
  <c r="K84" i="7"/>
  <c r="K82" i="7"/>
  <c r="K73" i="7"/>
  <c r="K85" i="7"/>
  <c r="K80" i="7"/>
  <c r="K81" i="7"/>
  <c r="K70" i="7"/>
  <c r="K74" i="7"/>
  <c r="K86" i="7"/>
  <c r="K88" i="7"/>
  <c r="K77" i="7"/>
  <c r="K66" i="7"/>
  <c r="K67" i="7"/>
  <c r="K69" i="7"/>
  <c r="K75" i="7"/>
  <c r="K87" i="7"/>
  <c r="K76" i="7"/>
  <c r="AS54" i="9"/>
  <c r="L54" i="10"/>
  <c r="K56" i="7" s="1"/>
  <c r="V54" i="10"/>
  <c r="U56" i="7" s="1"/>
  <c r="J118" i="7" s="1"/>
  <c r="S54" i="10"/>
  <c r="R56" i="7" s="1"/>
  <c r="AP54" i="9"/>
  <c r="I54" i="10"/>
  <c r="H56" i="7" s="1"/>
  <c r="U54" i="10"/>
  <c r="T56" i="7" s="1"/>
  <c r="AO54" i="9"/>
  <c r="H54" i="10"/>
  <c r="G56" i="7" s="1"/>
  <c r="F85" i="7" s="1"/>
  <c r="AW54" i="9"/>
  <c r="Q54" i="10"/>
  <c r="P56" i="7" s="1"/>
  <c r="G54" i="10"/>
  <c r="F56" i="7" s="1"/>
  <c r="AQ54" i="9"/>
  <c r="J54" i="10"/>
  <c r="I56" i="7" s="1"/>
  <c r="R54" i="10"/>
  <c r="Q56" i="7" s="1"/>
  <c r="H118" i="7" s="1"/>
  <c r="T54" i="10"/>
  <c r="S56" i="7" s="1"/>
  <c r="I118" i="7" s="1"/>
  <c r="AR54" i="9"/>
  <c r="K54" i="10"/>
  <c r="J56" i="7" s="1"/>
  <c r="E55" i="10"/>
  <c r="D57" i="7" s="1"/>
  <c r="AU53" i="9"/>
  <c r="O54" i="10" s="1"/>
  <c r="N56" i="7" s="1"/>
  <c r="F118" i="7" s="1"/>
  <c r="F55" i="10"/>
  <c r="E57" i="7" s="1"/>
  <c r="AV53" i="9"/>
  <c r="P54" i="10" s="1"/>
  <c r="O56" i="7" s="1"/>
  <c r="G118" i="7" s="1"/>
  <c r="AR55" i="9" l="1"/>
  <c r="K55" i="10"/>
  <c r="J57" i="7" s="1"/>
  <c r="T55" i="10"/>
  <c r="S57" i="7" s="1"/>
  <c r="I119" i="7" s="1"/>
  <c r="AQ55" i="9"/>
  <c r="J55" i="10"/>
  <c r="I57" i="7" s="1"/>
  <c r="AO55" i="9"/>
  <c r="H55" i="10"/>
  <c r="G57" i="7" s="1"/>
  <c r="F86" i="7" s="1"/>
  <c r="U55" i="10"/>
  <c r="T57" i="7" s="1"/>
  <c r="R55" i="10"/>
  <c r="Q57" i="7" s="1"/>
  <c r="H119" i="7" s="1"/>
  <c r="AP55" i="9"/>
  <c r="I55" i="10"/>
  <c r="H57" i="7" s="1"/>
  <c r="S55" i="10"/>
  <c r="R57" i="7" s="1"/>
  <c r="G55" i="10"/>
  <c r="F57" i="7" s="1"/>
  <c r="V55" i="10"/>
  <c r="U57" i="7" s="1"/>
  <c r="J119" i="7" s="1"/>
  <c r="AW55" i="9"/>
  <c r="Q55" i="10"/>
  <c r="P57" i="7" s="1"/>
  <c r="AS55" i="9"/>
  <c r="L55" i="10"/>
  <c r="K57" i="7" s="1"/>
  <c r="F56" i="10"/>
  <c r="E58" i="7" s="1"/>
  <c r="AV54" i="9"/>
  <c r="P55" i="10" s="1"/>
  <c r="O57" i="7" s="1"/>
  <c r="G119" i="7" s="1"/>
  <c r="E56" i="10"/>
  <c r="D58" i="7" s="1"/>
  <c r="AU54" i="9"/>
  <c r="O55" i="10" s="1"/>
  <c r="N57" i="7" s="1"/>
  <c r="F119" i="7" s="1"/>
  <c r="AS56" i="9" l="1"/>
  <c r="L57" i="10" s="1"/>
  <c r="K59" i="7" s="1"/>
  <c r="O28" i="7" s="1"/>
  <c r="L56" i="10"/>
  <c r="K58" i="7" s="1"/>
  <c r="R57" i="10"/>
  <c r="Q59" i="7" s="1"/>
  <c r="P24" i="7" s="1"/>
  <c r="R56" i="10"/>
  <c r="Q58" i="7" s="1"/>
  <c r="H120" i="7" s="1"/>
  <c r="AW56" i="9"/>
  <c r="Q57" i="10" s="1"/>
  <c r="P59" i="7" s="1"/>
  <c r="P23" i="7" s="1"/>
  <c r="Q56" i="10"/>
  <c r="P58" i="7" s="1"/>
  <c r="U57" i="10"/>
  <c r="T59" i="7" s="1"/>
  <c r="P27" i="7" s="1"/>
  <c r="U56" i="10"/>
  <c r="T58" i="7" s="1"/>
  <c r="V57" i="10"/>
  <c r="U59" i="7" s="1"/>
  <c r="P28" i="7" s="1"/>
  <c r="V56" i="10"/>
  <c r="U58" i="7" s="1"/>
  <c r="J120" i="7" s="1"/>
  <c r="AO56" i="9"/>
  <c r="H57" i="10" s="1"/>
  <c r="G59" i="7" s="1"/>
  <c r="O24" i="7" s="1"/>
  <c r="H56" i="10"/>
  <c r="G58" i="7" s="1"/>
  <c r="F87" i="7" s="1"/>
  <c r="G57" i="10"/>
  <c r="F59" i="7" s="1"/>
  <c r="O23" i="7" s="1"/>
  <c r="G56" i="10"/>
  <c r="F58" i="7" s="1"/>
  <c r="AQ56" i="9"/>
  <c r="J57" i="10" s="1"/>
  <c r="I59" i="7" s="1"/>
  <c r="O26" i="7" s="1"/>
  <c r="J56" i="10"/>
  <c r="I58" i="7" s="1"/>
  <c r="S57" i="10"/>
  <c r="R59" i="7" s="1"/>
  <c r="P25" i="7" s="1"/>
  <c r="S56" i="10"/>
  <c r="R58" i="7" s="1"/>
  <c r="T57" i="10"/>
  <c r="S59" i="7" s="1"/>
  <c r="P26" i="7" s="1"/>
  <c r="T56" i="10"/>
  <c r="S58" i="7" s="1"/>
  <c r="I120" i="7" s="1"/>
  <c r="AP56" i="9"/>
  <c r="I57" i="10" s="1"/>
  <c r="H59" i="7" s="1"/>
  <c r="O25" i="7" s="1"/>
  <c r="I56" i="10"/>
  <c r="H58" i="7" s="1"/>
  <c r="AR56" i="9"/>
  <c r="K57" i="10" s="1"/>
  <c r="J59" i="7" s="1"/>
  <c r="O27" i="7" s="1"/>
  <c r="K56" i="10"/>
  <c r="J58" i="7" s="1"/>
  <c r="AU55" i="9"/>
  <c r="O56" i="10" s="1"/>
  <c r="N58" i="7" s="1"/>
  <c r="F120" i="7" s="1"/>
  <c r="AV55" i="9"/>
  <c r="P56" i="10" s="1"/>
  <c r="O58" i="7" s="1"/>
  <c r="G120" i="7" s="1"/>
  <c r="J121" i="7" l="1"/>
  <c r="I121" i="7"/>
  <c r="H121" i="7"/>
  <c r="AV56" i="9"/>
  <c r="P57" i="10" s="1"/>
  <c r="O59" i="7" s="1"/>
  <c r="P22" i="7" s="1"/>
  <c r="F57" i="10"/>
  <c r="E59" i="7" s="1"/>
  <c r="O22" i="7" s="1"/>
  <c r="AU56" i="9"/>
  <c r="O57" i="10" s="1"/>
  <c r="N59" i="7" s="1"/>
  <c r="P21" i="7" s="1"/>
  <c r="E57" i="10"/>
  <c r="D59" i="7" s="1"/>
  <c r="O21" i="7" s="1"/>
  <c r="G11" i="12"/>
  <c r="F121" i="7" l="1"/>
  <c r="G121" i="7"/>
  <c r="F88" i="7"/>
  <c r="K25" i="13"/>
  <c r="L25" i="13"/>
  <c r="G12" i="12"/>
  <c r="Q25" i="13" l="1"/>
  <c r="K32" i="16" s="1"/>
  <c r="L26" i="13"/>
  <c r="K26" i="13"/>
  <c r="P25" i="13"/>
  <c r="J32" i="16" s="1"/>
  <c r="K27" i="13" l="1"/>
  <c r="P26" i="13"/>
  <c r="J33" i="16" s="1"/>
  <c r="L27" i="13"/>
  <c r="Q26" i="13"/>
  <c r="K33" i="16" s="1"/>
  <c r="L28" i="13" l="1"/>
  <c r="Q27" i="13"/>
  <c r="K34" i="16" s="1"/>
  <c r="K28" i="13"/>
  <c r="P27" i="13"/>
  <c r="J34" i="16" s="1"/>
  <c r="K29" i="13" l="1"/>
  <c r="P28" i="13"/>
  <c r="J35" i="16" s="1"/>
  <c r="L29" i="13"/>
  <c r="Q28" i="13"/>
  <c r="K35" i="16" s="1"/>
  <c r="E22" i="16" l="1"/>
  <c r="E20" i="16"/>
  <c r="E21" i="16"/>
  <c r="F21" i="16"/>
  <c r="F22" i="16"/>
  <c r="F20" i="16"/>
  <c r="L30" i="13"/>
  <c r="Q29" i="13"/>
  <c r="K36" i="16" s="1"/>
  <c r="K30" i="13"/>
  <c r="P29" i="13"/>
  <c r="J36" i="16" s="1"/>
  <c r="K31" i="13" l="1"/>
  <c r="P30" i="13"/>
  <c r="J37" i="16" s="1"/>
  <c r="L31" i="13"/>
  <c r="Q30" i="13"/>
  <c r="K37" i="16" s="1"/>
  <c r="L32" i="13" l="1"/>
  <c r="Q31" i="13"/>
  <c r="K38" i="16" s="1"/>
  <c r="K32" i="13"/>
  <c r="P31" i="13"/>
  <c r="J38" i="16" s="1"/>
  <c r="K33" i="13" l="1"/>
  <c r="P32" i="13"/>
  <c r="J39" i="16" s="1"/>
  <c r="L33" i="13"/>
  <c r="Q32" i="13"/>
  <c r="K39" i="16" s="1"/>
  <c r="L34" i="13" l="1"/>
  <c r="Q33" i="13"/>
  <c r="K40" i="16" s="1"/>
  <c r="K34" i="13"/>
  <c r="P33" i="13"/>
  <c r="J40" i="16" s="1"/>
  <c r="K35" i="13" l="1"/>
  <c r="P34" i="13"/>
  <c r="J41" i="16" s="1"/>
  <c r="L35" i="13"/>
  <c r="Q34" i="13"/>
  <c r="K41" i="16" s="1"/>
  <c r="L36" i="13" l="1"/>
  <c r="Q35" i="13"/>
  <c r="K42" i="16" s="1"/>
  <c r="K36" i="13"/>
  <c r="P35" i="13"/>
  <c r="J42" i="16" s="1"/>
  <c r="K37" i="13" l="1"/>
  <c r="P36" i="13"/>
  <c r="J43" i="16" s="1"/>
  <c r="L37" i="13"/>
  <c r="Q36" i="13"/>
  <c r="K43" i="16" s="1"/>
  <c r="L38" i="13" l="1"/>
  <c r="Q37" i="13"/>
  <c r="K44" i="16" s="1"/>
  <c r="K38" i="13"/>
  <c r="P37" i="13"/>
  <c r="J44" i="16" s="1"/>
  <c r="K39" i="13" l="1"/>
  <c r="P38" i="13"/>
  <c r="J45" i="16" s="1"/>
  <c r="L39" i="13"/>
  <c r="Q38" i="13"/>
  <c r="K45" i="16" s="1"/>
  <c r="L40" i="13" l="1"/>
  <c r="Q39" i="13"/>
  <c r="K46" i="16" s="1"/>
  <c r="K40" i="13"/>
  <c r="P39" i="13"/>
  <c r="J46" i="16" s="1"/>
  <c r="K41" i="13" l="1"/>
  <c r="P40" i="13"/>
  <c r="J47" i="16" s="1"/>
  <c r="L41" i="13"/>
  <c r="Q40" i="13"/>
  <c r="K47" i="16" s="1"/>
  <c r="L42" i="13" l="1"/>
  <c r="Q41" i="13"/>
  <c r="K48" i="16" s="1"/>
  <c r="K42" i="13"/>
  <c r="P41" i="13"/>
  <c r="J48" i="16" s="1"/>
  <c r="K43" i="13" l="1"/>
  <c r="P42" i="13"/>
  <c r="J49" i="16" s="1"/>
  <c r="L43" i="13"/>
  <c r="Q42" i="13"/>
  <c r="K49" i="16" s="1"/>
  <c r="L44" i="13" l="1"/>
  <c r="Q43" i="13"/>
  <c r="K50" i="16" s="1"/>
  <c r="K44" i="13"/>
  <c r="P43" i="13"/>
  <c r="J50" i="16" s="1"/>
  <c r="K45" i="13" l="1"/>
  <c r="P44" i="13"/>
  <c r="J51" i="16" s="1"/>
  <c r="L45" i="13"/>
  <c r="Q44" i="13"/>
  <c r="K51" i="16" s="1"/>
  <c r="L46" i="13" l="1"/>
  <c r="Q45" i="13"/>
  <c r="K52" i="16" s="1"/>
  <c r="K46" i="13"/>
  <c r="P45" i="13"/>
  <c r="J52" i="16" s="1"/>
  <c r="K47" i="13" l="1"/>
  <c r="P46" i="13"/>
  <c r="J53" i="16" s="1"/>
  <c r="L47" i="13"/>
  <c r="Q46" i="13"/>
  <c r="K53" i="16" s="1"/>
  <c r="L48" i="13" l="1"/>
  <c r="Q48" i="13" s="1"/>
  <c r="K55" i="16" s="1"/>
  <c r="Q47" i="13"/>
  <c r="K54" i="16" s="1"/>
  <c r="K48" i="13"/>
  <c r="P48" i="13" s="1"/>
  <c r="J55" i="16" s="1"/>
  <c r="P47" i="13"/>
  <c r="J5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Carter, Kaitlyn</author>
  </authors>
  <commentList>
    <comment ref="B46" authorId="0" shapeId="0" xr:uid="{665603FA-C3B9-47A5-99EB-610B1AEA9C92}">
      <text>
        <r>
          <rPr>
            <b/>
            <sz val="9"/>
            <color indexed="81"/>
            <rFont val="Segoe UI"/>
            <family val="2"/>
          </rPr>
          <t>Carter, Kaitlyn:</t>
        </r>
        <r>
          <rPr>
            <sz val="9"/>
            <color indexed="81"/>
            <rFont val="Segoe UI"/>
            <family val="2"/>
          </rPr>
          <t xml:space="preserve">
This means people who will </t>
        </r>
        <r>
          <rPr>
            <i/>
            <sz val="9"/>
            <color indexed="81"/>
            <rFont val="Segoe UI"/>
            <family val="2"/>
          </rPr>
          <t>move</t>
        </r>
        <r>
          <rPr>
            <sz val="9"/>
            <color indexed="81"/>
            <rFont val="Segoe UI"/>
            <family val="2"/>
          </rPr>
          <t xml:space="preserve"> to Lüderitz to work in the mall</t>
        </r>
      </text>
    </comment>
  </commentList>
</comments>
</file>

<file path=xl/sharedStrings.xml><?xml version="1.0" encoding="utf-8"?>
<sst xmlns="http://schemas.openxmlformats.org/spreadsheetml/2006/main" count="533" uniqueCount="331">
  <si>
    <t>Control Panel - Lüderitz</t>
  </si>
  <si>
    <t>Global Assumptions for Scenarios</t>
  </si>
  <si>
    <t>Water Demand Assumptions</t>
  </si>
  <si>
    <t>2023 Lüderitz Population Growth Rate</t>
  </si>
  <si>
    <t>Average Household Size (20XX Census)</t>
  </si>
  <si>
    <r>
      <t>Current Lüderitz total water demand (2025) [m</t>
    </r>
    <r>
      <rPr>
        <vertAlign val="superscript"/>
        <sz val="11"/>
        <color theme="1"/>
        <rFont val="Arial"/>
        <family val="2"/>
      </rPr>
      <t>3</t>
    </r>
    <r>
      <rPr>
        <sz val="11"/>
        <color theme="1"/>
        <rFont val="Arial"/>
        <family val="2"/>
      </rPr>
      <t>/year]</t>
    </r>
  </si>
  <si>
    <t>Census Year</t>
  </si>
  <si>
    <t>Relocation Factor</t>
  </si>
  <si>
    <t>Domestic water demand per person [L/person/day]</t>
  </si>
  <si>
    <t>Census Year Population</t>
  </si>
  <si>
    <t>Resident / Job Multiplier (residents per job)</t>
  </si>
  <si>
    <r>
      <t>Domestic water demand per person [m</t>
    </r>
    <r>
      <rPr>
        <vertAlign val="superscript"/>
        <sz val="11"/>
        <color theme="1"/>
        <rFont val="Arial"/>
        <family val="2"/>
      </rPr>
      <t>3</t>
    </r>
    <r>
      <rPr>
        <sz val="11"/>
        <color theme="1"/>
        <rFont val="Arial"/>
        <family val="2"/>
      </rPr>
      <t>/person/year]</t>
    </r>
  </si>
  <si>
    <t>Average Namibian Household Size</t>
  </si>
  <si>
    <t>Resident / Job Multiplier (without hydrogen worker)</t>
  </si>
  <si>
    <r>
      <t>2024 domestic water demand [m</t>
    </r>
    <r>
      <rPr>
        <vertAlign val="superscript"/>
        <sz val="11"/>
        <color theme="1"/>
        <rFont val="Arial"/>
        <family val="2"/>
      </rPr>
      <t>3</t>
    </r>
    <r>
      <rPr>
        <sz val="11"/>
        <color theme="1"/>
        <rFont val="Arial"/>
        <family val="2"/>
      </rPr>
      <t>/year]</t>
    </r>
  </si>
  <si>
    <t>Starting Population Year - Scenarios</t>
  </si>
  <si>
    <r>
      <t>2024 industrial water demand [m</t>
    </r>
    <r>
      <rPr>
        <vertAlign val="superscript"/>
        <sz val="11"/>
        <color theme="1"/>
        <rFont val="Arial"/>
        <family val="2"/>
      </rPr>
      <t>3</t>
    </r>
    <r>
      <rPr>
        <sz val="11"/>
        <color theme="1"/>
        <rFont val="Arial"/>
        <family val="2"/>
      </rPr>
      <t>/year]</t>
    </r>
  </si>
  <si>
    <t>Starting Population - Scenarios</t>
  </si>
  <si>
    <t>Historic industrial water demand growth rate (comparison)</t>
  </si>
  <si>
    <t>Historic domestic water demand growth rate (comparison)</t>
  </si>
  <si>
    <t>Water Supply</t>
  </si>
  <si>
    <r>
      <t>Koichab Pan Aquifer Sustainable Yield [m</t>
    </r>
    <r>
      <rPr>
        <vertAlign val="superscript"/>
        <sz val="11"/>
        <color theme="1"/>
        <rFont val="Arial"/>
        <family val="2"/>
      </rPr>
      <t>3</t>
    </r>
    <r>
      <rPr>
        <sz val="11"/>
        <color theme="1"/>
        <rFont val="Arial"/>
        <family val="2"/>
      </rPr>
      <t>/year]</t>
    </r>
  </si>
  <si>
    <t>Reservoir capacity</t>
  </si>
  <si>
    <t>WWTW capacity</t>
  </si>
  <si>
    <t>Lüderitz Industry</t>
  </si>
  <si>
    <t>Aquaculture &amp; Light Industry</t>
  </si>
  <si>
    <t>Oil &amp; Gas Industry</t>
  </si>
  <si>
    <t>Green Hydrogen Industry</t>
  </si>
  <si>
    <t>Benguela Blue Aquaculture</t>
  </si>
  <si>
    <t>Oil &amp; Gas - TotalEnergies</t>
  </si>
  <si>
    <t xml:space="preserve">Hyphen Hydrogen </t>
  </si>
  <si>
    <t>Permit Allowance (tons of salmon)</t>
  </si>
  <si>
    <t>Starting Year of Operations</t>
  </si>
  <si>
    <t>Phase</t>
  </si>
  <si>
    <t>Year</t>
  </si>
  <si>
    <t>Total Workforce</t>
  </si>
  <si>
    <t>Workforce in Lüderitz</t>
  </si>
  <si>
    <t>Workforce in Camps</t>
  </si>
  <si>
    <r>
      <t xml:space="preserve">Industrial Demand </t>
    </r>
    <r>
      <rPr>
        <b/>
        <sz val="8"/>
        <color theme="1"/>
        <rFont val="Arial"/>
        <family val="2"/>
      </rPr>
      <t>[m</t>
    </r>
    <r>
      <rPr>
        <b/>
        <vertAlign val="superscript"/>
        <sz val="8"/>
        <color theme="1"/>
        <rFont val="Arial"/>
        <family val="2"/>
      </rPr>
      <t>3</t>
    </r>
    <r>
      <rPr>
        <b/>
        <sz val="8"/>
        <color theme="1"/>
        <rFont val="Arial"/>
        <family val="2"/>
      </rPr>
      <t>/day]</t>
    </r>
  </si>
  <si>
    <r>
      <t xml:space="preserve">Industrial Demand </t>
    </r>
    <r>
      <rPr>
        <b/>
        <sz val="8"/>
        <color theme="1"/>
        <rFont val="Arial"/>
        <family val="2"/>
      </rPr>
      <t>[m</t>
    </r>
    <r>
      <rPr>
        <b/>
        <vertAlign val="superscript"/>
        <sz val="8"/>
        <color theme="1"/>
        <rFont val="Arial"/>
        <family val="2"/>
      </rPr>
      <t>3</t>
    </r>
    <r>
      <rPr>
        <b/>
        <sz val="8"/>
        <color theme="1"/>
        <rFont val="Arial"/>
        <family val="2"/>
      </rPr>
      <t>/year]</t>
    </r>
  </si>
  <si>
    <r>
      <t xml:space="preserve">Desalination Solution - Low Estimate </t>
    </r>
    <r>
      <rPr>
        <b/>
        <sz val="8"/>
        <color theme="1"/>
        <rFont val="Arial"/>
        <family val="2"/>
      </rPr>
      <t>[m</t>
    </r>
    <r>
      <rPr>
        <b/>
        <vertAlign val="superscript"/>
        <sz val="8"/>
        <color theme="1"/>
        <rFont val="Arial"/>
        <family val="2"/>
      </rPr>
      <t>3</t>
    </r>
    <r>
      <rPr>
        <b/>
        <sz val="8"/>
        <color theme="1"/>
        <rFont val="Arial"/>
        <family val="2"/>
      </rPr>
      <t>/year]</t>
    </r>
  </si>
  <si>
    <r>
      <t xml:space="preserve">Desalination Solution - High Estimate </t>
    </r>
    <r>
      <rPr>
        <b/>
        <sz val="8"/>
        <color theme="1"/>
        <rFont val="Arial"/>
        <family val="2"/>
      </rPr>
      <t>[m</t>
    </r>
    <r>
      <rPr>
        <b/>
        <vertAlign val="superscript"/>
        <sz val="8"/>
        <color theme="1"/>
        <rFont val="Arial"/>
        <family val="2"/>
      </rPr>
      <t>3</t>
    </r>
    <r>
      <rPr>
        <b/>
        <sz val="8"/>
        <color theme="1"/>
        <rFont val="Arial"/>
        <family val="2"/>
      </rPr>
      <t>/year]</t>
    </r>
  </si>
  <si>
    <t>Workforce for Expansion</t>
  </si>
  <si>
    <t>Construction</t>
  </si>
  <si>
    <t>Indirect Job Creation Factor</t>
  </si>
  <si>
    <r>
      <t>Industrial Demand [m</t>
    </r>
    <r>
      <rPr>
        <vertAlign val="superscript"/>
        <sz val="10"/>
        <color theme="1"/>
        <rFont val="Arial"/>
        <family val="2"/>
      </rPr>
      <t>3</t>
    </r>
    <r>
      <rPr>
        <sz val="10"/>
        <color theme="1"/>
        <rFont val="Arial"/>
        <family val="2"/>
      </rPr>
      <t>/year]</t>
    </r>
  </si>
  <si>
    <t>Operational Phase 1</t>
  </si>
  <si>
    <t>Workforce</t>
  </si>
  <si>
    <t>Indirect Jobs from Salmon</t>
  </si>
  <si>
    <t>Operational Phase 2</t>
  </si>
  <si>
    <t>Phase 1</t>
  </si>
  <si>
    <t>Oil &amp; Gas - Haliburton</t>
  </si>
  <si>
    <t>Phase 2</t>
  </si>
  <si>
    <t>Phase 3</t>
  </si>
  <si>
    <t>2nd SCDI Project</t>
  </si>
  <si>
    <t>Workforce already in Lüderitz</t>
  </si>
  <si>
    <t>Workforce new in Lüderitz</t>
  </si>
  <si>
    <t>African Aquaculture Company (AAC)</t>
  </si>
  <si>
    <t>Oil &amp; Gas - ExxonMobil</t>
  </si>
  <si>
    <r>
      <t xml:space="preserve">Industrial Water Demand </t>
    </r>
    <r>
      <rPr>
        <b/>
        <sz val="8"/>
        <color theme="1"/>
        <rFont val="Arial"/>
        <family val="2"/>
      </rPr>
      <t>[m</t>
    </r>
    <r>
      <rPr>
        <b/>
        <vertAlign val="superscript"/>
        <sz val="8"/>
        <color theme="1"/>
        <rFont val="Arial"/>
        <family val="2"/>
      </rPr>
      <t>3</t>
    </r>
    <r>
      <rPr>
        <b/>
        <sz val="8"/>
        <color theme="1"/>
        <rFont val="Arial"/>
        <family val="2"/>
      </rPr>
      <t>/year]</t>
    </r>
  </si>
  <si>
    <t>Oil &amp; Gas - Chevron</t>
  </si>
  <si>
    <t>Kelp Blue</t>
  </si>
  <si>
    <t>Starting Year of Expansion</t>
  </si>
  <si>
    <t>CUMET Expansion</t>
  </si>
  <si>
    <r>
      <t>Industrial Water Demand for CUMET Expansion [m</t>
    </r>
    <r>
      <rPr>
        <vertAlign val="superscript"/>
        <sz val="10"/>
        <color theme="1"/>
        <rFont val="Arial"/>
        <family val="2"/>
      </rPr>
      <t>3</t>
    </r>
    <r>
      <rPr>
        <sz val="10"/>
        <color theme="1"/>
        <rFont val="Arial"/>
        <family val="2"/>
      </rPr>
      <t>/day]</t>
    </r>
  </si>
  <si>
    <r>
      <t>Industrial Water Demand for CUMET Expansion [m</t>
    </r>
    <r>
      <rPr>
        <vertAlign val="superscript"/>
        <sz val="10"/>
        <color theme="1"/>
        <rFont val="Arial"/>
        <family val="2"/>
      </rPr>
      <t>3</t>
    </r>
    <r>
      <rPr>
        <sz val="10"/>
        <color theme="1"/>
        <rFont val="Arial"/>
        <family val="2"/>
      </rPr>
      <t>/year]</t>
    </r>
  </si>
  <si>
    <t>Lüderitz Shopping Centre</t>
  </si>
  <si>
    <t>Workforce for Operations</t>
  </si>
  <si>
    <r>
      <t>Operations Industrial Demand [m</t>
    </r>
    <r>
      <rPr>
        <vertAlign val="superscript"/>
        <sz val="10"/>
        <color theme="1"/>
        <rFont val="Arial"/>
        <family val="2"/>
      </rPr>
      <t>3</t>
    </r>
    <r>
      <rPr>
        <sz val="10"/>
        <color theme="1"/>
        <rFont val="Arial"/>
        <family val="2"/>
      </rPr>
      <t xml:space="preserve">/year] </t>
    </r>
    <r>
      <rPr>
        <sz val="10"/>
        <color rgb="FFFF0000"/>
        <rFont val="Arial"/>
        <family val="2"/>
      </rPr>
      <t>[71]</t>
    </r>
  </si>
  <si>
    <r>
      <t>Construction Industrial Demand [m</t>
    </r>
    <r>
      <rPr>
        <vertAlign val="superscript"/>
        <sz val="10"/>
        <color theme="1"/>
        <rFont val="Arial"/>
        <family val="2"/>
      </rPr>
      <t>3</t>
    </r>
    <r>
      <rPr>
        <sz val="10"/>
        <color theme="1"/>
        <rFont val="Arial"/>
        <family val="2"/>
      </rPr>
      <t>/year]</t>
    </r>
  </si>
  <si>
    <t>NUST Campus</t>
  </si>
  <si>
    <t>Population Development in Lüderitz Due to Industrial Expansion</t>
  </si>
  <si>
    <t>Underlying Assumptions - to be adjusted in 'Control Panel - Lüderitz'</t>
  </si>
  <si>
    <t>Workforce per industry</t>
  </si>
  <si>
    <t>Can be adjusted in 'Lüderitz Industry'</t>
  </si>
  <si>
    <t>Background Calculations for Population Development</t>
  </si>
  <si>
    <t>Industry Workforce Numbers</t>
  </si>
  <si>
    <t>Scenario 1</t>
  </si>
  <si>
    <t>Scenario 2</t>
  </si>
  <si>
    <t>Scenario 3</t>
  </si>
  <si>
    <t>Scenario 4</t>
  </si>
  <si>
    <t>Scenario 5</t>
  </si>
  <si>
    <t xml:space="preserve">Scenario 1 </t>
  </si>
  <si>
    <t>Scenario 3a</t>
  </si>
  <si>
    <t>Scenario 3b</t>
  </si>
  <si>
    <t>Scenario 4a</t>
  </si>
  <si>
    <t>Scenario 4b</t>
  </si>
  <si>
    <t>Scenario 5a</t>
  </si>
  <si>
    <t>Scenario 5b</t>
  </si>
  <si>
    <t>Lüderitz Population Based on Statistical Growth</t>
  </si>
  <si>
    <t>Benguela Blue</t>
  </si>
  <si>
    <t>Indirect Jobs from Benguela Blue</t>
  </si>
  <si>
    <t>AAC</t>
  </si>
  <si>
    <t>Indirect Jobs from AAC</t>
  </si>
  <si>
    <t xml:space="preserve">NUST Campus </t>
  </si>
  <si>
    <t>Hyphen in Camps</t>
  </si>
  <si>
    <t>Hyphen in Lüderitz</t>
  </si>
  <si>
    <t>2nd SCDI Project - Camps</t>
  </si>
  <si>
    <t>2nd SCDI Project - Lüderitz</t>
  </si>
  <si>
    <t>Total</t>
  </si>
  <si>
    <t>Excluding Hyphen</t>
  </si>
  <si>
    <t>Only Hyphen</t>
  </si>
  <si>
    <t>Permanently Relocated Hyphen</t>
  </si>
  <si>
    <t>Total Permanently Relocated</t>
  </si>
  <si>
    <t>Excluding Hydrogen</t>
  </si>
  <si>
    <t>Permanently Relocated Hydrogen</t>
  </si>
  <si>
    <t>Only Hydrogen</t>
  </si>
  <si>
    <t>No relocation of Hyphen workforce families</t>
  </si>
  <si>
    <t>Full relocation of Hyphen workforce families</t>
  </si>
  <si>
    <t>No relocation of 2nd hydrogen permanent workforce families</t>
  </si>
  <si>
    <t>Full relocation of 2nd hydrogen permanent workforce families</t>
  </si>
  <si>
    <t>Domestic Water Demand Based on Workforce &amp; Population</t>
  </si>
  <si>
    <t>Underlying Assumptions</t>
  </si>
  <si>
    <t>Unmet Domestic Demand</t>
  </si>
  <si>
    <t>Excludes Hydrogen Workforce
Includes Hydrogen Workforce Families</t>
  </si>
  <si>
    <t>Background Calculations for Domestic Water Demand</t>
  </si>
  <si>
    <r>
      <t>Data for Figure 1: Total Domestic Demand [m</t>
    </r>
    <r>
      <rPr>
        <b/>
        <vertAlign val="superscript"/>
        <sz val="11"/>
        <color theme="1"/>
        <rFont val="Arial"/>
        <family val="2"/>
      </rPr>
      <t>3</t>
    </r>
    <r>
      <rPr>
        <b/>
        <sz val="11"/>
        <color theme="1"/>
        <rFont val="Arial"/>
        <family val="2"/>
      </rPr>
      <t>/year] Based On…</t>
    </r>
  </si>
  <si>
    <t>Curent Population Growth Rate</t>
  </si>
  <si>
    <t>2024 Domestic Demand Growth Rate</t>
  </si>
  <si>
    <t>Lüderitz Industrial Water Demand</t>
  </si>
  <si>
    <t>Growth of current industrial demand added to all scenarios</t>
  </si>
  <si>
    <t>See Cell C27 for value</t>
  </si>
  <si>
    <t>Industrial water demand per industry</t>
  </si>
  <si>
    <t>Background Calculations for Industrial Water Demand</t>
  </si>
  <si>
    <r>
      <t>Data for Figures 1 &amp; 2: Industrial Water Demand [m</t>
    </r>
    <r>
      <rPr>
        <b/>
        <vertAlign val="superscript"/>
        <sz val="11"/>
        <color theme="1"/>
        <rFont val="Arial"/>
        <family val="2"/>
      </rPr>
      <t>3</t>
    </r>
    <r>
      <rPr>
        <b/>
        <sz val="11"/>
        <color theme="1"/>
        <rFont val="Arial"/>
        <family val="2"/>
      </rPr>
      <t>/year] Per Industry</t>
    </r>
  </si>
  <si>
    <t>2024 Industrial  Demand Growth Rate</t>
  </si>
  <si>
    <t>Hyphen</t>
  </si>
  <si>
    <t>Total Including Current Industrial Demand</t>
  </si>
  <si>
    <t>Total without Hydroge-Related Demand</t>
  </si>
  <si>
    <t>Industrial Water Demand per Scenario</t>
  </si>
  <si>
    <r>
      <t>Data for Figure 3: Total Industrial Demand [m</t>
    </r>
    <r>
      <rPr>
        <b/>
        <vertAlign val="superscript"/>
        <sz val="11"/>
        <color theme="1"/>
        <rFont val="Arial"/>
        <family val="2"/>
      </rPr>
      <t>3</t>
    </r>
    <r>
      <rPr>
        <b/>
        <sz val="11"/>
        <color theme="1"/>
        <rFont val="Arial"/>
        <family val="2"/>
      </rPr>
      <t>/year]</t>
    </r>
  </si>
  <si>
    <r>
      <t>Non-Hydrogen Industrial Demand [m</t>
    </r>
    <r>
      <rPr>
        <b/>
        <vertAlign val="superscript"/>
        <sz val="11"/>
        <color theme="1"/>
        <rFont val="Arial"/>
        <family val="2"/>
      </rPr>
      <t>3</t>
    </r>
    <r>
      <rPr>
        <b/>
        <sz val="11"/>
        <color theme="1"/>
        <rFont val="Arial"/>
        <family val="2"/>
      </rPr>
      <t xml:space="preserve">/year] </t>
    </r>
  </si>
  <si>
    <t>Data for Figures 1 &amp; 2: Background Calculations for Total Demand</t>
  </si>
  <si>
    <r>
      <t>Total Demand (Domestic + Industrial) [m</t>
    </r>
    <r>
      <rPr>
        <b/>
        <vertAlign val="superscript"/>
        <sz val="10"/>
        <color theme="1"/>
        <rFont val="Arial"/>
        <family val="2"/>
      </rPr>
      <t>3</t>
    </r>
    <r>
      <rPr>
        <b/>
        <sz val="10"/>
        <color theme="1"/>
        <rFont val="Arial"/>
        <family val="2"/>
      </rPr>
      <t>/year]</t>
    </r>
  </si>
  <si>
    <t>2024 Demand Growth Rate</t>
  </si>
  <si>
    <t>Baseline Data for Figures</t>
  </si>
  <si>
    <r>
      <t>Current Total Demand [m</t>
    </r>
    <r>
      <rPr>
        <b/>
        <vertAlign val="superscript"/>
        <sz val="10"/>
        <color theme="1"/>
        <rFont val="Arial"/>
        <family val="2"/>
      </rPr>
      <t>3</t>
    </r>
    <r>
      <rPr>
        <b/>
        <sz val="10"/>
        <color theme="1"/>
        <rFont val="Arial"/>
        <family val="2"/>
      </rPr>
      <t>/year]</t>
    </r>
  </si>
  <si>
    <r>
      <t>Koichab Pan Aquifer Yield [m</t>
    </r>
    <r>
      <rPr>
        <b/>
        <vertAlign val="superscript"/>
        <sz val="10"/>
        <color theme="1"/>
        <rFont val="Arial"/>
        <family val="2"/>
      </rPr>
      <t>3</t>
    </r>
    <r>
      <rPr>
        <b/>
        <sz val="10"/>
        <color theme="1"/>
        <rFont val="Arial"/>
        <family val="2"/>
      </rPr>
      <t>/year]</t>
    </r>
  </si>
  <si>
    <t>Hyphen desalination capacity (low)</t>
  </si>
  <si>
    <t>Hyphen desalination capacity (high)</t>
  </si>
  <si>
    <t>Scenario 3a - Hyphen Demand Only</t>
  </si>
  <si>
    <t>Scenario 3b - Hyphen Demand Only</t>
  </si>
  <si>
    <t>Aquifer Use</t>
  </si>
  <si>
    <t>Sceanrio</t>
  </si>
  <si>
    <t>Initial Option 1: 2035 Scenario 2</t>
  </si>
  <si>
    <t>Option 2: 2035 Scenario 5b</t>
  </si>
  <si>
    <t>Expansion Option 1: 2045 Scenario 2</t>
  </si>
  <si>
    <t>Expansion Option 2: 2045 Scenario 5b</t>
  </si>
  <si>
    <t>Supply Gap (If KP Aquifer Used)</t>
  </si>
  <si>
    <t>Desalination Capacity (If KP Aquifer Used)</t>
  </si>
  <si>
    <t>Supply Gap (If KP Aquifer Not Used)</t>
  </si>
  <si>
    <t>Desalination Capacity (If KP Aquifer Not Used)</t>
  </si>
  <si>
    <t>Control Panel - Aus</t>
  </si>
  <si>
    <t>Hyphen Settlement Assumptions</t>
  </si>
  <si>
    <t>2023 Aus Population Growth Rate</t>
  </si>
  <si>
    <r>
      <t>Current Aus total water demand (2025) [m</t>
    </r>
    <r>
      <rPr>
        <vertAlign val="superscript"/>
        <sz val="11"/>
        <color theme="1"/>
        <rFont val="Arial"/>
        <family val="2"/>
      </rPr>
      <t>3</t>
    </r>
    <r>
      <rPr>
        <sz val="11"/>
        <color theme="1"/>
        <rFont val="Arial"/>
        <family val="2"/>
      </rPr>
      <t>/day]</t>
    </r>
  </si>
  <si>
    <t>Percentage of Hyphen Workforce to settle in Aus</t>
  </si>
  <si>
    <t>Relocation Factor (assumed)</t>
  </si>
  <si>
    <r>
      <t>Current Aus total water demand (2025) [m</t>
    </r>
    <r>
      <rPr>
        <vertAlign val="superscript"/>
        <sz val="11"/>
        <color theme="1"/>
        <rFont val="Arial"/>
        <family val="2"/>
      </rPr>
      <t>3</t>
    </r>
    <r>
      <rPr>
        <sz val="11"/>
        <color theme="1"/>
        <rFont val="Arial"/>
        <family val="2"/>
      </rPr>
      <t>/year]</t>
    </r>
  </si>
  <si>
    <r>
      <t>Assumed 2025 non-domestic demand [m</t>
    </r>
    <r>
      <rPr>
        <vertAlign val="superscript"/>
        <sz val="11"/>
        <color theme="1"/>
        <rFont val="Arial"/>
        <family val="2"/>
      </rPr>
      <t>3</t>
    </r>
    <r>
      <rPr>
        <sz val="11"/>
        <color theme="1"/>
        <rFont val="Arial"/>
        <family val="2"/>
      </rPr>
      <t>/day]</t>
    </r>
  </si>
  <si>
    <r>
      <t>Assumed 2025 domestic demand [m</t>
    </r>
    <r>
      <rPr>
        <vertAlign val="superscript"/>
        <sz val="11"/>
        <color theme="1"/>
        <rFont val="Arial"/>
        <family val="2"/>
      </rPr>
      <t>3</t>
    </r>
    <r>
      <rPr>
        <sz val="11"/>
        <color theme="1"/>
        <rFont val="Arial"/>
        <family val="2"/>
      </rPr>
      <t>/day]</t>
    </r>
  </si>
  <si>
    <t>Poultry Farming Initiative</t>
  </si>
  <si>
    <r>
      <t>Borehole Production [m</t>
    </r>
    <r>
      <rPr>
        <vertAlign val="superscript"/>
        <sz val="11"/>
        <color theme="1"/>
        <rFont val="Arial"/>
        <family val="2"/>
      </rPr>
      <t>3</t>
    </r>
    <r>
      <rPr>
        <sz val="11"/>
        <color theme="1"/>
        <rFont val="Arial"/>
        <family val="2"/>
      </rPr>
      <t>/day]</t>
    </r>
  </si>
  <si>
    <r>
      <t>Borehole Production [m</t>
    </r>
    <r>
      <rPr>
        <vertAlign val="superscript"/>
        <sz val="11"/>
        <color theme="1"/>
        <rFont val="Arial"/>
        <family val="2"/>
      </rPr>
      <t>3</t>
    </r>
    <r>
      <rPr>
        <sz val="11"/>
        <color theme="1"/>
        <rFont val="Arial"/>
        <family val="2"/>
      </rPr>
      <t>/year]</t>
    </r>
  </si>
  <si>
    <t>Distribution side water losses</t>
  </si>
  <si>
    <t>Population Development in Aus Due to Industrial Expansion</t>
  </si>
  <si>
    <t>Hyphen Workforce in Aus</t>
  </si>
  <si>
    <t>Population Growth Per Scenario</t>
  </si>
  <si>
    <t>Domestic Water Demand Per Scenario</t>
  </si>
  <si>
    <t>Aus Population Based on Statistical Growth</t>
  </si>
  <si>
    <t>1% of Hyphen's Workforce</t>
  </si>
  <si>
    <t>2.5% of Hyphen's Workforce</t>
  </si>
  <si>
    <t>5% of Hyphen's Workforce</t>
  </si>
  <si>
    <t>10% of Hyphen's Workforce</t>
  </si>
  <si>
    <r>
      <t>Non-Domestic Demand Aus [m</t>
    </r>
    <r>
      <rPr>
        <b/>
        <vertAlign val="superscript"/>
        <sz val="10"/>
        <color theme="1"/>
        <rFont val="Arial"/>
        <family val="2"/>
      </rPr>
      <t>3</t>
    </r>
    <r>
      <rPr>
        <b/>
        <sz val="10"/>
        <color theme="1"/>
        <rFont val="Arial"/>
        <family val="2"/>
      </rPr>
      <t>/year]</t>
    </r>
  </si>
  <si>
    <t>Total Demand</t>
  </si>
  <si>
    <t>Existing Non-Domestic Demand</t>
  </si>
  <si>
    <t>Total Non-Domestic Demand</t>
  </si>
  <si>
    <t>Domestic / Non-Domestic</t>
  </si>
  <si>
    <t>Consumer</t>
  </si>
  <si>
    <r>
      <t>Water Demand
[m</t>
    </r>
    <r>
      <rPr>
        <b/>
        <vertAlign val="superscript"/>
        <sz val="10"/>
        <color theme="1"/>
        <rFont val="Arial"/>
        <family val="2"/>
      </rPr>
      <t>3</t>
    </r>
    <r>
      <rPr>
        <b/>
        <sz val="10"/>
        <color theme="1"/>
        <rFont val="Arial"/>
        <family val="2"/>
      </rPr>
      <t>/day]</t>
    </r>
  </si>
  <si>
    <t>Domestic</t>
  </si>
  <si>
    <t xml:space="preserve">Residential Households </t>
  </si>
  <si>
    <t>Informal Housing</t>
  </si>
  <si>
    <t>Telecom</t>
  </si>
  <si>
    <t>Roman Catholic Church</t>
  </si>
  <si>
    <t>Church</t>
  </si>
  <si>
    <t>Ministry of Health</t>
  </si>
  <si>
    <t>Ministry of Environment</t>
  </si>
  <si>
    <t>Ministry of Safety &amp; Security: Police Station</t>
  </si>
  <si>
    <t>Ministry of Safety &amp; Security: General Accomodation</t>
  </si>
  <si>
    <t>Multi-Purpose Centre: Students + Teachers</t>
  </si>
  <si>
    <t>NamPost</t>
  </si>
  <si>
    <t>||Kharas Regional Council</t>
  </si>
  <si>
    <t>Marmer Primary School: Students +Teachers</t>
  </si>
  <si>
    <t>Non-Domestic</t>
  </si>
  <si>
    <t>Businesses</t>
  </si>
  <si>
    <t>Bahnhof Hotel: Guests + Staff</t>
  </si>
  <si>
    <t>Bahnhof Conference Centre</t>
  </si>
  <si>
    <t>Petrol Station</t>
  </si>
  <si>
    <t>Multi-Purpose Centre: Hostels</t>
  </si>
  <si>
    <t>TransNamib</t>
  </si>
  <si>
    <t>Marmer Primary School: Hostels</t>
  </si>
  <si>
    <t>15% Distribution Losses</t>
  </si>
  <si>
    <t>3% Production Losses</t>
  </si>
  <si>
    <t>Total FY2023 Theoretical Water Demands</t>
  </si>
  <si>
    <t>Statistic Growth</t>
  </si>
  <si>
    <t>Baseline Growth</t>
  </si>
  <si>
    <t>Scenarios - Domestic water demand per person [L/person/day]</t>
  </si>
  <si>
    <r>
      <t>Scenarios - Domestic water demand per person [m</t>
    </r>
    <r>
      <rPr>
        <vertAlign val="superscript"/>
        <sz val="11"/>
        <color theme="1"/>
        <rFont val="Arial"/>
        <family val="2"/>
      </rPr>
      <t>3</t>
    </r>
    <r>
      <rPr>
        <sz val="11"/>
        <color theme="1"/>
        <rFont val="Arial"/>
        <family val="2"/>
      </rPr>
      <t>/person/year]</t>
    </r>
  </si>
  <si>
    <t>Assmed domestic water demand per person [L/person/day]</t>
  </si>
  <si>
    <t>Assmed domestic water demand per person [m3/person/year]</t>
  </si>
  <si>
    <t>Scenario</t>
  </si>
  <si>
    <t>Unmet Demand</t>
  </si>
  <si>
    <t>3a</t>
  </si>
  <si>
    <t>3b</t>
  </si>
  <si>
    <t>4a</t>
  </si>
  <si>
    <t>4b</t>
  </si>
  <si>
    <t>5a</t>
  </si>
  <si>
    <t>5b</t>
  </si>
  <si>
    <t>NamWater Projection (1.1% Water Demand Growth Rate)</t>
  </si>
  <si>
    <r>
      <t>Total Unmet Demand (Domestic + Industrial) [m</t>
    </r>
    <r>
      <rPr>
        <b/>
        <vertAlign val="superscript"/>
        <sz val="10"/>
        <color theme="1"/>
        <rFont val="Arial"/>
        <family val="2"/>
      </rPr>
      <t>3</t>
    </r>
    <r>
      <rPr>
        <b/>
        <sz val="10"/>
        <color theme="1"/>
        <rFont val="Arial"/>
        <family val="2"/>
      </rPr>
      <t>/year]</t>
    </r>
  </si>
  <si>
    <t>year</t>
  </si>
  <si>
    <t>Current WWTW capacity</t>
  </si>
  <si>
    <t>Current WWTW peak daily capacity</t>
  </si>
  <si>
    <t>Current WW production (based on Bicon estimate) m3/day</t>
  </si>
  <si>
    <t>Scenario 1 m3/day</t>
  </si>
  <si>
    <t>Scenario 2 m3/day</t>
  </si>
  <si>
    <t>Scenario 3b unmet m3/day</t>
  </si>
  <si>
    <t>Scenario 4b unmet m3/day</t>
  </si>
  <si>
    <t>Scenario 5b unmet m3/day</t>
  </si>
  <si>
    <t>Supply Scheme Components</t>
  </si>
  <si>
    <t>A Deficit</t>
  </si>
  <si>
    <t>B Deficit</t>
  </si>
  <si>
    <t>C Deficit</t>
  </si>
  <si>
    <t>Boreholes</t>
  </si>
  <si>
    <t>Pipelines</t>
  </si>
  <si>
    <t>Borehole pumps</t>
  </si>
  <si>
    <t>Starting Year - Scenarios</t>
  </si>
  <si>
    <t>Authors:</t>
  </si>
  <si>
    <t>Last update:</t>
  </si>
  <si>
    <t>Version:</t>
  </si>
  <si>
    <t>1.0</t>
  </si>
  <si>
    <t>Contact:</t>
  </si>
  <si>
    <t>kaitlyn.carter@dechema.de</t>
  </si>
  <si>
    <t>Citation:</t>
  </si>
  <si>
    <t>Tool Explanation</t>
  </si>
  <si>
    <t>a</t>
  </si>
  <si>
    <t>b</t>
  </si>
  <si>
    <t>Scenario A</t>
  </si>
  <si>
    <t>Scenario B</t>
  </si>
  <si>
    <t>Scenario C</t>
  </si>
  <si>
    <t xml:space="preserve"> Lüderitz scenarios explanation</t>
  </si>
  <si>
    <t>Aus scenarios explanation</t>
  </si>
  <si>
    <t>Background Data for Water Demand - Aus</t>
  </si>
  <si>
    <t>Resulting Demands</t>
  </si>
  <si>
    <t>Share of 
total 
consumption</t>
  </si>
  <si>
    <t>Assumed
Borehole 
Production 
[m³/day]</t>
  </si>
  <si>
    <t>Assumed 
Borehole 
Production 
[m³/year]</t>
  </si>
  <si>
    <t>Supply 
Accounting 
for Losses 
(39%)</t>
  </si>
  <si>
    <r>
      <t>Domestic Demand [m</t>
    </r>
    <r>
      <rPr>
        <vertAlign val="superscript"/>
        <sz val="11"/>
        <color theme="1"/>
        <rFont val="Arial"/>
        <family val="2"/>
      </rPr>
      <t>3</t>
    </r>
    <r>
      <rPr>
        <sz val="11"/>
        <color theme="1"/>
        <rFont val="Arial"/>
        <family val="2"/>
      </rPr>
      <t>/day]</t>
    </r>
  </si>
  <si>
    <r>
      <t>Non-Domestic Demand [m</t>
    </r>
    <r>
      <rPr>
        <vertAlign val="superscript"/>
        <sz val="11"/>
        <color theme="1"/>
        <rFont val="Arial"/>
        <family val="2"/>
      </rPr>
      <t>3</t>
    </r>
    <r>
      <rPr>
        <sz val="11"/>
        <color theme="1"/>
        <rFont val="Arial"/>
        <family val="2"/>
      </rPr>
      <t>/day]</t>
    </r>
  </si>
  <si>
    <t xml:space="preserve">Purpose of this tool: </t>
  </si>
  <si>
    <t>Using the tool:</t>
  </si>
  <si>
    <t>Underlying assumptions:</t>
  </si>
  <si>
    <t>Open Questions:</t>
  </si>
  <si>
    <t>Imprint</t>
  </si>
  <si>
    <t xml:space="preserve">
Base Case + Hyphen Hydrogen Development</t>
  </si>
  <si>
    <t xml:space="preserve">
Base Case + Combined Oil &amp; Gas and Hyphen Development</t>
  </si>
  <si>
    <t xml:space="preserve">
Maximum Growth Scenario: SCDI Expansion with Second Hydrogen Project</t>
  </si>
  <si>
    <t>Aus is situated along the road from Keetmanshoop to Lüderitz and lies approximately 50 km from Hyphen’s solar and electrolyser site. Given its proximity, Aus is likely to serve as a base for a small share of Hyphen’s temporary construction workforce. For the scenario development,we assumed that 1% of the construction’s temporary workforce relocates to Aus. This reflects several factors: most Hyphen construction workers will live in dedicated construction camps; needed workers will be sourced from Aus where possible; Aus currently faces significant housing shortages; and the settlement relies entirely on boreholes, limiting its ability to adsorb additional residents. Similar to the relocation factor explained in Section 4.1, this percentage is highly dependent on how these factors realize over time. Based on these constraints, we further assumed that none of the permanent Hyphen workers would settle in Aus.</t>
  </si>
  <si>
    <t xml:space="preserve">
1 % of the temprary construction workers will relocate permanently to Aus, but their families will remain in their place of origin.</t>
  </si>
  <si>
    <t xml:space="preserve">
1 % of the temporary construction workers will relocate permanently to Aus and bring their families.</t>
  </si>
  <si>
    <t xml:space="preserve">
After construction of the Hyphen plant is complete, the 1 % of the temporary workforce and their relocated families will completely move back to their place of origin.</t>
  </si>
  <si>
    <r>
      <t xml:space="preserve">
Base Case - Auaculture, Manganese Port Expansion &amp; Commercial Development
</t>
    </r>
    <r>
      <rPr>
        <sz val="11"/>
        <color theme="1"/>
        <rFont val="Arial"/>
        <family val="2"/>
      </rPr>
      <t xml:space="preserve">The baseline for this scenario is the population increase including the given growth factor for Lüderitz, the establishment of the two salmon farms and the expansion of Kelp Blue. As Lüderitz is already a hub for aquaculture, we estimated that these industries are the most likely to start operating. Also, we included in this scenario the port expansion for an increased manganese shipment and the NUST campus expansion, as well as the shopping mall. For all the additional workforce attracted, we assumed their families to relocate to Lüderitz as well and that workers will settle permanently in Lüderitz. This scenario assumes no realization of the oil and gas or green hydrogen industries. </t>
    </r>
  </si>
  <si>
    <t xml:space="preserve">The baseline for this scenario is the population increase including the given growth factor for Lüderitz, the establishment of the two salmon farms and the expansion of Kelp Blue. As Lüderitz is already a hub for aquaculture, we estimated that these industries are the most likely to start operating. Also, we included in this scenario the port expansion for an increased manganese shipment and the NUST campus expansion, as well as the shopping mall. For all the additional workforce attracted, we assumed their families to relocate to Lüderitz as well and that workers will settle permanently in Lüderitz. This scenario assumes no realization of the oil and gas or green hydrogen industries. </t>
  </si>
  <si>
    <t xml:space="preserve">
Base Case + Oil &amp; Gas Development
</t>
  </si>
  <si>
    <t xml:space="preserve">This scenario is based on Scenario 1 and includes additionally a full expansion of the oil &amp; gas industry, again with a permanent relocation of workers and their families to Lüderitz. As the first oil is expected to be drilled by either 2029 or 2030, we assumed a ramp-up of the workforce of 7,000 (as estimated by TotalEnergies) by 2033, starting with 250 in 2026. Therefore, this scenario includes only the associated domestic water demand of the realized oil and gas industry. The accompanying industrial water demand can be added to this scenario as soon as data is available. This scenario assumes no realization of the green hydrogen industry. </t>
  </si>
  <si>
    <t xml:space="preserve">Also based on Scenario 1, Scenario 3 includes additionally the development of the Hyphen hydrogen project, but no development of oil and gas. With numbers provided from Hyphen, the industrial water demand was simple to predict over the years, however, for the domestic demand we assumed the following: 
• Hyphen estimates a domestic demand of 120 L/person per day, however, Bicon Namibia [21] states a value of 130 L/ person per day. We assume the value of 130 L/person per day, as this number is based on data from the already existing Lüderitz townlands. The value of 130 L/ person per day is used for all scenarios, including those relating to Hyphen (Scenarios 3, 4 and 5). 
• Whether the families will relocate to Lüderitz or not can likely not be controlled completely. Therefore, we developed two different possibilities based on Hyphen’s numbers for temporary and permanent jobs. </t>
  </si>
  <si>
    <t>Scenario 3b assumes, that although most of the construction workers (14.000) will live in construction camps during the construction phase, their families will move to Lüderitz (or 1 % to Aus) and the workers will join them after the construction phase.</t>
  </si>
  <si>
    <t>Scenario 3a assumes that the families will not move for either temporary or permanent jobs.</t>
  </si>
  <si>
    <t>This represents a combination fo Scenarios 1, 2 and 3, with all industries coming into realization within the timeline provided. Similar to Scenario 3, there are two options for domestic demand included.</t>
  </si>
  <si>
    <t>Scenario 4a assumes no family relocation.</t>
  </si>
  <si>
    <t>Scenario 4b assumes family relocation.</t>
  </si>
  <si>
    <t xml:space="preserve">Scenario 5 is based on Scenario 4, but adds a second hydrogen project in the SCDI, with an assumed construction starting in 2035 and full operation in 2042. There is currently no additional green hydrogen project planned within the SCDI, future hydrogen projects are desired to reach the full production capacity by 2050. With this project starting significantly after Hyphen’s start of operations, we assumed that the temporary workforce did not move back to their place of origin but stayed in Lüderitz in anticipation of the next hydrogen project to come. We included a permanent workforce for the project starting in 2037 (1000) and 2042 (3000). </t>
  </si>
  <si>
    <t>Scenario 5a assumes no family relocation.</t>
  </si>
  <si>
    <t>Scenario 5b assumes family relocation.</t>
  </si>
  <si>
    <t xml:space="preserve">For Lüderitz, five different scenarios were developed, all assuming a different realization of workforce, family relocation, and industrial realization. For each scenario, the population development was calculated slightly differently in order to account for differing assumptions regarding settlement and family relocation. These equations are provided in Appendix B of the linked report. A complete overview of workforce numbers based on stakeholder feedback and our assumptions can be seen in Appendix C. Scenarios 1 - 5 are described and visualized in simplified form below. </t>
  </si>
  <si>
    <t>See imprint.</t>
  </si>
  <si>
    <t>Detailed information on the underlying assumptions can be found in the report linked on the right.</t>
  </si>
  <si>
    <r>
      <t>The aim of this tool is to use different scenarios to make estimates about population growth and water consumption in the cities of Lüderitz and Aus in Namibia. It is based on the report "</t>
    </r>
    <r>
      <rPr>
        <i/>
        <sz val="11"/>
        <color theme="1"/>
        <rFont val="Arial"/>
        <family val="2"/>
      </rPr>
      <t>||Kharas Region Water Infrastructure &amp; Green Hydrogen Economy: Scenarios and Strategic Considerations</t>
    </r>
    <r>
      <rPr>
        <sz val="11"/>
        <color theme="1"/>
        <rFont val="Arial"/>
        <family val="2"/>
      </rPr>
      <t>" published by the GreeN-H2 Namibia project. The observation period can be freely selected and, in the basic version, ranges from 2025 to 2050.</t>
    </r>
  </si>
  <si>
    <r>
      <rPr>
        <b/>
        <sz val="13"/>
        <color theme="1"/>
        <rFont val="Arial"/>
        <family val="2"/>
      </rPr>
      <t>Factual Data</t>
    </r>
    <r>
      <rPr>
        <sz val="11"/>
        <color theme="1"/>
        <rFont val="Arial"/>
        <family val="2"/>
      </rPr>
      <t xml:space="preserve">
</t>
    </r>
    <r>
      <rPr>
        <sz val="10"/>
        <color theme="1"/>
        <rFont val="Arial"/>
        <family val="2"/>
      </rPr>
      <t>Source: Namibia Statistics Agency (2024). Namibia 2023 Population and Housing Census</t>
    </r>
  </si>
  <si>
    <r>
      <rPr>
        <b/>
        <sz val="13"/>
        <color theme="1"/>
        <rFont val="Arial"/>
        <family val="2"/>
      </rPr>
      <t>Factual Data</t>
    </r>
    <r>
      <rPr>
        <sz val="11"/>
        <color theme="1"/>
        <rFont val="Arial"/>
        <family val="2"/>
      </rPr>
      <t xml:space="preserve">
</t>
    </r>
    <r>
      <rPr>
        <sz val="10"/>
        <color theme="1"/>
        <rFont val="Arial"/>
        <family val="2"/>
      </rPr>
      <t>Source: Namibia Statistics Agency (2024). Namibia 2023 Population and Housing Census</t>
    </r>
  </si>
  <si>
    <t>Kaitlyn Carter (DECHEMA e.V)</t>
  </si>
  <si>
    <t>Disclaimer:</t>
  </si>
  <si>
    <t>This tool is for estimation purposes only and is based on assumptions from the ||Kharas Region Water Infrastructure &amp; Green Hydrogen Economy:</t>
  </si>
  <si>
    <t>Scenarios and Strategic Considerations Report. No Guarantee of accuracy.</t>
  </si>
  <si>
    <t>2025 DECHEMA Gesellschaft für Chemische Technik und Biotechnologie e.V.</t>
  </si>
  <si>
    <t xml:space="preserve">© </t>
  </si>
  <si>
    <t>To use this tool effectively, users can obtain key information such as underlying assumptions, scenario details, and data sources from the linked GreeN-H2 Namibia report, the Imprint sheet for contact and citation details, and the Control Panels for baseline data from sources like the Namibia Statistics Agency.
The tool provides interactive customization: Navigate to the Control Panel sheets (Sheet 2 for Lüderitz, Sheet 8 for Aus) to adjust parameters light-blue cells for tailored scenarios, while grey cells contain fixed or calculated values that cannot be modified. Adjustments automatically update calculations. All computations use Excel formulas (no macros required). Use navigation hyperlinks for easy section jumps.</t>
  </si>
  <si>
    <t>This sheet allows you to customize key parameters for Lüderitz scenarios. Edit values in light-blue cells (e.g., growth rates, household sizes) to tailor calculations—changes propagate automatically to population, demand, and scenario sheets. Fixed/calculated values are in gray and cannot be modified. Base data from Namibia Statistics Agency (2023 Census) and regional reports. For full guidance, see Sheet 1: Explanation and Instructions.</t>
  </si>
  <si>
    <t>This sheet details key industries driving growth in Lüderitz, including aquaculture, oil &amp; gas, and green hydrogen projects. Edit adjustable values (e.g., starting years, workforce, or demand in light-blue cells) to refine scenarios—updates flow automatically to population and demand calculations. Data includes phased timelines, indirect jobs, and water demands based on report assumptions.</t>
  </si>
  <si>
    <t>This sheet computes population growth in Lüderitz from 2025-2050, incorporating statistical rates, industry workforce (from Sheet 3), and scenario assumptions (from Sheet 1). Values pull from the Control Panel (Sheet 2)—edit there to update. 
Tables show job growth, total population per scenario, and data for figures (e.g., excluding/including hydrogen impacts). Extend beyond 2050 by dragging formulas down.</t>
  </si>
  <si>
    <t>Data for Figure 2: Population growth numbers, leaving out all hydrogen
 related workforce as per the scenario assumptions</t>
  </si>
  <si>
    <r>
      <t>Job Growth per Scenario (Δ Workforce = Workforce</t>
    </r>
    <r>
      <rPr>
        <b/>
        <vertAlign val="subscript"/>
        <sz val="11"/>
        <color theme="0"/>
        <rFont val="Arial"/>
        <family val="2"/>
      </rPr>
      <t>n+1</t>
    </r>
    <r>
      <rPr>
        <b/>
        <sz val="11"/>
        <color theme="0"/>
        <rFont val="Arial"/>
        <family val="2"/>
      </rPr>
      <t xml:space="preserve"> - Workforce</t>
    </r>
    <r>
      <rPr>
        <b/>
        <vertAlign val="subscript"/>
        <sz val="11"/>
        <color theme="0"/>
        <rFont val="Arial"/>
        <family val="2"/>
      </rPr>
      <t>n</t>
    </r>
    <r>
      <rPr>
        <b/>
        <sz val="11"/>
        <color theme="0"/>
        <rFont val="Arial"/>
        <family val="2"/>
      </rPr>
      <t>)</t>
    </r>
  </si>
  <si>
    <t>This sheet calculates industrial water demand in Lüderitz from 2025-2050, based on industry-specific data (from Sheet 3) and growth rates (from Sheet 2: Control Panel). It breaks down demand per industry, totals including current demand, and figures data (with/without hydrogen). 
Updates occur automatically from upstream changes. Data feeds into total demand scenarios in Sheet 7.</t>
  </si>
  <si>
    <t>Lüderitz Scenarios</t>
  </si>
  <si>
    <r>
      <rPr>
        <b/>
        <sz val="13"/>
        <color theme="1"/>
        <rFont val="Arial"/>
        <family val="2"/>
      </rPr>
      <t xml:space="preserve">2023 Aus Water Supply Customers </t>
    </r>
    <r>
      <rPr>
        <sz val="11"/>
        <color theme="1"/>
        <rFont val="Arial"/>
        <family val="2"/>
      </rPr>
      <t xml:space="preserve">
</t>
    </r>
    <r>
      <rPr>
        <sz val="10"/>
        <color theme="1"/>
        <rFont val="Arial"/>
        <family val="2"/>
      </rPr>
      <t>Source: Aus Development Proposal (2023)</t>
    </r>
  </si>
  <si>
    <t>Data for Figure 1: Population growth numbers, including 
workforce growth from all industries</t>
  </si>
  <si>
    <t>This sheet calculates domestic water demand in Lüderitz from 2025-2050, based on population projections (from Sheet 4) and per-person consumption rates (from Sheet 2: Control Panel). It shows total demand per scenario, unmet demands (excluding hydrogen workforce but including families where applicable), and comparisons to historical growth. Updates occur automatically from upstream changes. Data feeds into total demand scenarios in Sheet 7.</t>
  </si>
  <si>
    <t>Data for Figure 3</t>
  </si>
  <si>
    <t>Data for Figure 4</t>
  </si>
  <si>
    <t>Supply Shortfalls (2026-2031)</t>
  </si>
  <si>
    <t>m³/a</t>
  </si>
  <si>
    <t>m³/d</t>
  </si>
  <si>
    <t>Wastewater table</t>
  </si>
  <si>
    <t xml:space="preserve">This sheet summarizes total water demand (domestic + industrial) and unmet demands for Lüderitz scenarios from 2025-2050, pulling from Sheets 4-6. It includes key snapshots (2030, 2040, 2050), background calculations, and data for figures 
(e.g., wastewater vs. capacity). Use this for high-level overviews; edits in Control Panel or Industry sheets update here automatically. </t>
  </si>
  <si>
    <t>Scenario A: Permanent Relocation, 
Without Families</t>
  </si>
  <si>
    <t>Scenario B : Permanent Relocation, 
With Families</t>
  </si>
  <si>
    <t>Scenario C: Temporary Relocation, 
With Families</t>
  </si>
  <si>
    <t xml:space="preserve">This sheet computes population growth and domestic water demand in Aus from 2025-2050, based on statistical rates, a small share of Hyphen workforce 
(from Sheet 8: Control Panel), and scenario assumptions (from Sheet 1). Tables show growth per scenario (A-C: permanent/temporary relocation with/without families) 
and demand calculations. Updates occur automatically from upstream changes. </t>
  </si>
  <si>
    <t xml:space="preserve">This sheet calculates total water demand (domestic + non-domestic) in Aus from 2025-2050, pulling from Sheet 9, with deficits per scenario and comparisons to NamWater projections. It includes snapshots (2030, 2040, 2050) 
for supply components like boreholes and pipelines. Updates occur automatically from Control Panel changes. </t>
  </si>
  <si>
    <t>This sheet provides foundational data for Aus water demand, including 2023 consumer breakdowns 
(domestic/non-domestic), resulting shares, and assumed borehole production For reference only.</t>
  </si>
  <si>
    <r>
      <t>Data for Figure 2: Unmet Domestic Demand [m</t>
    </r>
    <r>
      <rPr>
        <b/>
        <vertAlign val="superscript"/>
        <sz val="11"/>
        <color theme="1"/>
        <rFont val="Arial"/>
        <family val="2"/>
      </rPr>
      <t>3</t>
    </r>
    <r>
      <rPr>
        <b/>
        <sz val="11"/>
        <color theme="1"/>
        <rFont val="Arial"/>
        <family val="2"/>
      </rPr>
      <t>/year] - 
Excludes Hydrogen-Related Workforce but not their Families</t>
    </r>
  </si>
  <si>
    <t>Panel This sheet allows you to customize key parameters for Aus scenarios, similar to Lüderitz. Edit values in light-blue cells to tailor calculations—changes propagate automatically to sheets 9 &amp; 10. 
Base data and assumptions from Namibia Statistics Agency (2023 Census) and GreeN-H2 Namibia reports. Refer to sheet 2 for tooltips.</t>
  </si>
  <si>
    <t>Current capacity of supply scheme components [m³/d]</t>
  </si>
  <si>
    <t>Underlying Assumptions - to be adjusted in '8. Control Panel - Aus'</t>
  </si>
  <si>
    <t>Water Demand Calculator: Calculation tool for the water demand and population development of the cities of Aus and Lüderitz in Namibia's Southern Hydrogen Valley in the ||Kharas Region</t>
  </si>
  <si>
    <t>Millary Sierra Olea (DECHEMA e.V.)</t>
  </si>
  <si>
    <t>Dr. Daniel Frank (DECHEMA e.V.)</t>
  </si>
  <si>
    <t>Carter, K., Frank, D. &amp; Sierra Olea, M. (2025). Water Demand and Population Growth Calculator for Aus and Lüderitz, Namibia. DECHEMA. [Version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</si>
</sst>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2" x14ac:knownFonts="1">
    <font>
      <sz val="11"/>
      <color theme="1"/>
      <name val="Arial"/>
      <family val="2"/>
    </font>
    <font>
      <sz val="11"/>
      <color theme="1"/>
      <name val="Arial"/>
      <family val="2"/>
    </font>
    <font>
      <b/>
      <sz val="11"/>
      <color theme="1"/>
      <name val="Arial"/>
      <family val="2"/>
    </font>
    <font>
      <b/>
      <sz val="10"/>
      <color theme="1"/>
      <name val="Arial"/>
      <family val="2"/>
    </font>
    <font>
      <sz val="10"/>
      <color theme="1"/>
      <name val="Arial"/>
      <family val="2"/>
    </font>
    <font>
      <vertAlign val="superscript"/>
      <sz val="11"/>
      <color theme="1"/>
      <name val="Arial"/>
      <family val="2"/>
    </font>
    <font>
      <sz val="10"/>
      <color theme="0" tint="-0.499984740745262"/>
      <name val="Arial"/>
      <family val="2"/>
    </font>
    <font>
      <b/>
      <sz val="8"/>
      <color theme="1"/>
      <name val="Arial"/>
      <family val="2"/>
    </font>
    <font>
      <b/>
      <vertAlign val="superscript"/>
      <sz val="8"/>
      <color theme="1"/>
      <name val="Arial"/>
      <family val="2"/>
    </font>
    <font>
      <vertAlign val="superscript"/>
      <sz val="10"/>
      <color theme="1"/>
      <name val="Arial"/>
      <family val="2"/>
    </font>
    <font>
      <sz val="10"/>
      <color rgb="FFFF0000"/>
      <name val="Arial"/>
      <family val="2"/>
    </font>
    <font>
      <sz val="10"/>
      <color theme="4" tint="0.39997558519241921"/>
      <name val="Arial"/>
      <family val="2"/>
    </font>
    <font>
      <b/>
      <sz val="14"/>
      <color theme="0"/>
      <name val="Arial"/>
      <family val="2"/>
    </font>
    <font>
      <b/>
      <vertAlign val="superscript"/>
      <sz val="11"/>
      <color theme="1"/>
      <name val="Arial"/>
      <family val="2"/>
    </font>
    <font>
      <sz val="10"/>
      <color rgb="FF44B3E1"/>
      <name val="Arial"/>
      <family val="2"/>
    </font>
    <font>
      <b/>
      <vertAlign val="superscript"/>
      <sz val="10"/>
      <color theme="1"/>
      <name val="Arial"/>
      <family val="2"/>
    </font>
    <font>
      <sz val="9"/>
      <color indexed="81"/>
      <name val="Segoe UI"/>
      <family val="2"/>
    </font>
    <font>
      <b/>
      <sz val="9"/>
      <color indexed="81"/>
      <name val="Segoe UI"/>
      <family val="2"/>
    </font>
    <font>
      <i/>
      <sz val="9"/>
      <color indexed="81"/>
      <name val="Segoe UI"/>
      <family val="2"/>
    </font>
    <font>
      <b/>
      <sz val="9"/>
      <color theme="1"/>
      <name val="Arial"/>
      <family val="2"/>
    </font>
    <font>
      <sz val="11"/>
      <color theme="7"/>
      <name val="Arial"/>
      <family val="2"/>
    </font>
    <font>
      <sz val="8"/>
      <color theme="1"/>
      <name val="Arial"/>
      <family val="2"/>
    </font>
    <font>
      <u/>
      <sz val="11"/>
      <color theme="10"/>
      <name val="Arial"/>
      <family val="2"/>
    </font>
    <font>
      <u/>
      <sz val="8"/>
      <color theme="3" tint="0.249977111117893"/>
      <name val="Arial"/>
      <family val="2"/>
    </font>
    <font>
      <b/>
      <sz val="12"/>
      <color theme="1"/>
      <name val="Arial"/>
      <family val="2"/>
    </font>
    <font>
      <b/>
      <sz val="13"/>
      <color theme="1"/>
      <name val="Arial"/>
      <family val="2"/>
    </font>
    <font>
      <i/>
      <sz val="11"/>
      <color theme="1"/>
      <name val="Arial"/>
      <family val="2"/>
    </font>
    <font>
      <b/>
      <sz val="13"/>
      <color theme="0"/>
      <name val="Arial"/>
      <family val="2"/>
    </font>
    <font>
      <b/>
      <sz val="14"/>
      <color theme="1"/>
      <name val="Arial"/>
      <family val="2"/>
    </font>
    <font>
      <b/>
      <sz val="11"/>
      <color theme="0"/>
      <name val="Arial"/>
      <family val="2"/>
    </font>
    <font>
      <b/>
      <vertAlign val="subscript"/>
      <sz val="11"/>
      <color theme="0"/>
      <name val="Arial"/>
      <family val="2"/>
    </font>
    <font>
      <sz val="11"/>
      <name val="Arial"/>
      <family val="2"/>
    </font>
  </fonts>
  <fills count="11">
    <fill>
      <patternFill patternType="none"/>
    </fill>
    <fill>
      <patternFill patternType="gray125"/>
    </fill>
    <fill>
      <patternFill patternType="solid">
        <fgColor rgb="FFE3E4EA"/>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C0E6F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s>
  <borders count="15">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22" fillId="0" borderId="0" applyNumberFormat="0" applyFill="0" applyBorder="0" applyAlignment="0" applyProtection="0"/>
  </cellStyleXfs>
  <cellXfs count="255">
    <xf numFmtId="0" fontId="0" fillId="0" borderId="0" xfId="0"/>
    <xf numFmtId="0" fontId="2" fillId="7" borderId="0" xfId="0" applyFont="1" applyFill="1" applyAlignment="1">
      <alignment vertical="center"/>
    </xf>
    <xf numFmtId="0" fontId="12" fillId="7" borderId="0" xfId="0" applyFont="1" applyFill="1" applyAlignment="1">
      <alignment vertical="center"/>
    </xf>
    <xf numFmtId="0" fontId="4" fillId="0" borderId="2" xfId="0" applyFont="1" applyBorder="1" applyAlignment="1">
      <alignment horizontal="center" wrapText="1"/>
    </xf>
    <xf numFmtId="3" fontId="4" fillId="0" borderId="2" xfId="0" applyNumberFormat="1" applyFont="1" applyBorder="1" applyAlignment="1">
      <alignment wrapText="1"/>
    </xf>
    <xf numFmtId="3" fontId="4" fillId="0" borderId="0" xfId="0" applyNumberFormat="1" applyFont="1" applyAlignment="1">
      <alignment wrapText="1"/>
    </xf>
    <xf numFmtId="0" fontId="0" fillId="8" borderId="6" xfId="0" applyFill="1" applyBorder="1"/>
    <xf numFmtId="0" fontId="0" fillId="8" borderId="0" xfId="0" applyFill="1"/>
    <xf numFmtId="0" fontId="0" fillId="8" borderId="1" xfId="0" applyFill="1" applyBorder="1"/>
    <xf numFmtId="0" fontId="0" fillId="8" borderId="7" xfId="0" applyFill="1" applyBorder="1"/>
    <xf numFmtId="0" fontId="2" fillId="8" borderId="0" xfId="0" applyFont="1" applyFill="1"/>
    <xf numFmtId="0" fontId="21" fillId="8" borderId="0" xfId="0" applyFont="1" applyFill="1"/>
    <xf numFmtId="0" fontId="21" fillId="8" borderId="1" xfId="0" applyFont="1" applyFill="1" applyBorder="1"/>
    <xf numFmtId="0" fontId="21" fillId="8" borderId="8" xfId="0" applyFont="1" applyFill="1" applyBorder="1"/>
    <xf numFmtId="0" fontId="21" fillId="8" borderId="9" xfId="0" applyFont="1" applyFill="1" applyBorder="1"/>
    <xf numFmtId="0" fontId="23" fillId="8" borderId="0" xfId="2" applyFont="1" applyFill="1" applyBorder="1"/>
    <xf numFmtId="0" fontId="0" fillId="9" borderId="3" xfId="0" applyFill="1" applyBorder="1"/>
    <xf numFmtId="0" fontId="0" fillId="9" borderId="4" xfId="0" applyFill="1" applyBorder="1"/>
    <xf numFmtId="0" fontId="0" fillId="9" borderId="5" xfId="0" applyFill="1" applyBorder="1"/>
    <xf numFmtId="0" fontId="0" fillId="9" borderId="6" xfId="0" applyFill="1" applyBorder="1"/>
    <xf numFmtId="0" fontId="0" fillId="9" borderId="0" xfId="0" applyFill="1"/>
    <xf numFmtId="0" fontId="0" fillId="9" borderId="1" xfId="0" applyFill="1" applyBorder="1"/>
    <xf numFmtId="2" fontId="24" fillId="2" borderId="2" xfId="0" applyNumberFormat="1" applyFont="1" applyFill="1" applyBorder="1"/>
    <xf numFmtId="4" fontId="0" fillId="2" borderId="2" xfId="0" applyNumberFormat="1" applyFill="1" applyBorder="1" applyAlignment="1">
      <alignment vertical="center" wrapText="1"/>
    </xf>
    <xf numFmtId="2" fontId="0" fillId="2" borderId="2" xfId="0" applyNumberFormat="1" applyFill="1" applyBorder="1"/>
    <xf numFmtId="0" fontId="0" fillId="2" borderId="2" xfId="0" applyFill="1" applyBorder="1"/>
    <xf numFmtId="4" fontId="0" fillId="2" borderId="2" xfId="0" applyNumberFormat="1" applyFill="1" applyBorder="1"/>
    <xf numFmtId="0" fontId="0" fillId="7" borderId="0" xfId="0" applyFill="1"/>
    <xf numFmtId="0" fontId="0" fillId="9" borderId="0" xfId="0" applyFill="1" applyAlignment="1">
      <alignment vertical="center"/>
    </xf>
    <xf numFmtId="0" fontId="0" fillId="9" borderId="0" xfId="0" applyFill="1" applyAlignment="1">
      <alignment wrapText="1"/>
    </xf>
    <xf numFmtId="164" fontId="0" fillId="2" borderId="2" xfId="1" applyNumberFormat="1" applyFont="1" applyFill="1" applyBorder="1" applyAlignment="1">
      <alignment vertical="center" wrapText="1"/>
    </xf>
    <xf numFmtId="0" fontId="0" fillId="2" borderId="2" xfId="0" applyFill="1" applyBorder="1" applyAlignment="1">
      <alignment vertical="center" wrapText="1"/>
    </xf>
    <xf numFmtId="3" fontId="0" fillId="2" borderId="2" xfId="0" applyNumberFormat="1" applyFill="1" applyBorder="1" applyAlignment="1">
      <alignment vertical="center" wrapText="1"/>
    </xf>
    <xf numFmtId="4" fontId="0" fillId="9" borderId="0" xfId="0" applyNumberFormat="1" applyFill="1"/>
    <xf numFmtId="3" fontId="6" fillId="2" borderId="2" xfId="0" applyNumberFormat="1" applyFont="1" applyFill="1" applyBorder="1" applyAlignment="1">
      <alignment vertical="center" wrapText="1"/>
    </xf>
    <xf numFmtId="3" fontId="3" fillId="4" borderId="2" xfId="0" applyNumberFormat="1" applyFont="1" applyFill="1" applyBorder="1" applyAlignment="1">
      <alignment horizontal="left" vertical="center" wrapText="1"/>
    </xf>
    <xf numFmtId="0" fontId="6" fillId="2" borderId="2" xfId="0" applyFont="1" applyFill="1" applyBorder="1" applyAlignment="1">
      <alignment vertical="center" wrapText="1"/>
    </xf>
    <xf numFmtId="3" fontId="0" fillId="9" borderId="0" xfId="0" applyNumberFormat="1" applyFill="1"/>
    <xf numFmtId="4" fontId="2" fillId="9" borderId="0" xfId="0" applyNumberFormat="1" applyFont="1" applyFill="1"/>
    <xf numFmtId="0" fontId="2" fillId="9" borderId="0" xfId="0" applyFont="1" applyFill="1" applyAlignment="1">
      <alignment vertical="center"/>
    </xf>
    <xf numFmtId="0" fontId="3" fillId="9" borderId="0" xfId="0" applyFont="1" applyFill="1" applyAlignment="1">
      <alignment horizontal="center" vertical="center" wrapText="1"/>
    </xf>
    <xf numFmtId="0" fontId="4" fillId="9" borderId="0" xfId="0" applyFont="1" applyFill="1"/>
    <xf numFmtId="0" fontId="11" fillId="2" borderId="2" xfId="0" applyFont="1" applyFill="1" applyBorder="1"/>
    <xf numFmtId="3" fontId="11" fillId="2" borderId="2" xfId="0" applyNumberFormat="1" applyFont="1" applyFill="1" applyBorder="1"/>
    <xf numFmtId="0" fontId="4" fillId="2" borderId="2" xfId="0" applyFont="1" applyFill="1" applyBorder="1"/>
    <xf numFmtId="3" fontId="4" fillId="2" borderId="2" xfId="0" applyNumberFormat="1" applyFont="1" applyFill="1" applyBorder="1"/>
    <xf numFmtId="3" fontId="4" fillId="10" borderId="2" xfId="0" applyNumberFormat="1" applyFont="1" applyFill="1" applyBorder="1"/>
    <xf numFmtId="3" fontId="4" fillId="10" borderId="2" xfId="0" applyNumberFormat="1" applyFont="1" applyFill="1" applyBorder="1" applyAlignment="1">
      <alignment horizontal="right"/>
    </xf>
    <xf numFmtId="3" fontId="4" fillId="2" borderId="2" xfId="0" applyNumberFormat="1" applyFont="1" applyFill="1" applyBorder="1" applyAlignment="1">
      <alignment horizontal="right"/>
    </xf>
    <xf numFmtId="0" fontId="14" fillId="2" borderId="2" xfId="0" applyFont="1" applyFill="1" applyBorder="1"/>
    <xf numFmtId="3" fontId="14" fillId="2" borderId="2" xfId="0" applyNumberFormat="1" applyFont="1" applyFill="1" applyBorder="1"/>
    <xf numFmtId="0" fontId="28" fillId="7" borderId="0" xfId="0" applyFont="1" applyFill="1" applyAlignment="1">
      <alignment vertical="center"/>
    </xf>
    <xf numFmtId="14" fontId="21" fillId="8" borderId="0" xfId="0" applyNumberFormat="1" applyFont="1" applyFill="1" applyAlignment="1">
      <alignment horizontal="left"/>
    </xf>
    <xf numFmtId="0" fontId="7" fillId="8" borderId="0" xfId="0" applyFont="1" applyFill="1"/>
    <xf numFmtId="3" fontId="4" fillId="2" borderId="2" xfId="0" applyNumberFormat="1" applyFont="1" applyFill="1" applyBorder="1" applyAlignment="1">
      <alignment vertical="center" wrapText="1"/>
    </xf>
    <xf numFmtId="3" fontId="4" fillId="2" borderId="13" xfId="0" applyNumberFormat="1" applyFont="1" applyFill="1" applyBorder="1" applyAlignment="1">
      <alignment vertical="center" wrapText="1"/>
    </xf>
    <xf numFmtId="0" fontId="3" fillId="4" borderId="2" xfId="0" applyFont="1" applyFill="1" applyBorder="1" applyAlignment="1">
      <alignment horizontal="center" vertical="center"/>
    </xf>
    <xf numFmtId="0" fontId="3" fillId="4" borderId="2" xfId="0" applyFont="1" applyFill="1" applyBorder="1" applyAlignment="1">
      <alignment horizontal="center" vertical="center" wrapText="1"/>
    </xf>
    <xf numFmtId="0" fontId="7" fillId="4" borderId="2" xfId="0" applyFont="1" applyFill="1" applyBorder="1" applyAlignment="1">
      <alignment wrapText="1"/>
    </xf>
    <xf numFmtId="0" fontId="29" fillId="9" borderId="0" xfId="0" applyFont="1" applyFill="1" applyAlignment="1">
      <alignment vertical="center"/>
    </xf>
    <xf numFmtId="0" fontId="3" fillId="4" borderId="2" xfId="0" applyFont="1" applyFill="1" applyBorder="1" applyAlignment="1">
      <alignment horizontal="center" wrapText="1"/>
    </xf>
    <xf numFmtId="3" fontId="0" fillId="2" borderId="2" xfId="0" applyNumberFormat="1" applyFill="1" applyBorder="1"/>
    <xf numFmtId="0" fontId="2" fillId="4" borderId="2" xfId="0" applyFont="1" applyFill="1" applyBorder="1" applyAlignment="1">
      <alignment horizontal="center" vertical="center" wrapText="1"/>
    </xf>
    <xf numFmtId="0" fontId="12" fillId="7" borderId="0" xfId="0" applyFont="1" applyFill="1"/>
    <xf numFmtId="0" fontId="4" fillId="5" borderId="2" xfId="0" applyFont="1" applyFill="1" applyBorder="1" applyAlignment="1">
      <alignment horizontal="center"/>
    </xf>
    <xf numFmtId="0" fontId="4" fillId="2" borderId="2" xfId="0" applyFont="1" applyFill="1" applyBorder="1" applyAlignment="1">
      <alignment horizontal="center"/>
    </xf>
    <xf numFmtId="0" fontId="2" fillId="4" borderId="2" xfId="0" applyFont="1" applyFill="1" applyBorder="1" applyAlignment="1">
      <alignment vertical="center"/>
    </xf>
    <xf numFmtId="0" fontId="2" fillId="4" borderId="2" xfId="0" applyFont="1" applyFill="1" applyBorder="1" applyAlignment="1">
      <alignment horizontal="center" wrapText="1"/>
    </xf>
    <xf numFmtId="0" fontId="2" fillId="9" borderId="0" xfId="0" applyFont="1" applyFill="1"/>
    <xf numFmtId="0" fontId="2" fillId="4" borderId="2" xfId="0" applyFont="1" applyFill="1" applyBorder="1" applyAlignment="1">
      <alignment horizontal="center"/>
    </xf>
    <xf numFmtId="0" fontId="19" fillId="4" borderId="2" xfId="0" applyFont="1" applyFill="1" applyBorder="1" applyAlignment="1">
      <alignment horizontal="center" vertical="center" wrapText="1"/>
    </xf>
    <xf numFmtId="1" fontId="0" fillId="2" borderId="2" xfId="0" applyNumberFormat="1" applyFill="1" applyBorder="1"/>
    <xf numFmtId="0" fontId="0" fillId="4" borderId="2" xfId="0" applyFill="1" applyBorder="1" applyAlignment="1">
      <alignment horizontal="center"/>
    </xf>
    <xf numFmtId="0" fontId="0" fillId="4" borderId="2" xfId="0" applyFill="1" applyBorder="1"/>
    <xf numFmtId="0" fontId="2" fillId="4" borderId="2" xfId="0" applyFont="1" applyFill="1" applyBorder="1"/>
    <xf numFmtId="0" fontId="3" fillId="4" borderId="2" xfId="0" applyFont="1" applyFill="1" applyBorder="1" applyAlignment="1">
      <alignment vertical="center" wrapText="1"/>
    </xf>
    <xf numFmtId="0" fontId="20" fillId="2" borderId="2" xfId="0" applyFont="1" applyFill="1" applyBorder="1"/>
    <xf numFmtId="3" fontId="20" fillId="2" borderId="2" xfId="0" applyNumberFormat="1" applyFont="1" applyFill="1" applyBorder="1"/>
    <xf numFmtId="0" fontId="2" fillId="4" borderId="13" xfId="0" applyFont="1" applyFill="1" applyBorder="1" applyAlignment="1">
      <alignment horizontal="center" wrapText="1"/>
    </xf>
    <xf numFmtId="0" fontId="0" fillId="4" borderId="14" xfId="0" applyFill="1" applyBorder="1" applyAlignment="1">
      <alignment horizontal="center"/>
    </xf>
    <xf numFmtId="4" fontId="25" fillId="4" borderId="2" xfId="0" applyNumberFormat="1" applyFont="1" applyFill="1" applyBorder="1" applyAlignment="1">
      <alignment horizontal="center" vertical="center" wrapText="1"/>
    </xf>
    <xf numFmtId="0" fontId="0" fillId="6" borderId="2" xfId="0" applyFill="1" applyBorder="1" applyAlignment="1">
      <alignment horizontal="left" vertical="center" wrapText="1"/>
    </xf>
    <xf numFmtId="4" fontId="0" fillId="6" borderId="2" xfId="0" applyNumberFormat="1" applyFill="1" applyBorder="1" applyAlignment="1">
      <alignment horizontal="left" wrapText="1"/>
    </xf>
    <xf numFmtId="4" fontId="0" fillId="2" borderId="3" xfId="0" applyNumberFormat="1" applyFill="1" applyBorder="1" applyAlignment="1">
      <alignment horizontal="center" vertical="center" wrapText="1"/>
    </xf>
    <xf numFmtId="4" fontId="0" fillId="2" borderId="5" xfId="0" applyNumberFormat="1" applyFill="1" applyBorder="1" applyAlignment="1">
      <alignment horizontal="center" vertical="center" wrapText="1"/>
    </xf>
    <xf numFmtId="4" fontId="0" fillId="2" borderId="7" xfId="0" applyNumberFormat="1" applyFill="1" applyBorder="1" applyAlignment="1">
      <alignment horizontal="center" vertical="center" wrapText="1"/>
    </xf>
    <xf numFmtId="4" fontId="0" fillId="2" borderId="9" xfId="0" applyNumberFormat="1" applyFill="1" applyBorder="1" applyAlignment="1">
      <alignment horizontal="center" vertical="center" wrapText="1"/>
    </xf>
    <xf numFmtId="4" fontId="0" fillId="6" borderId="2" xfId="0" applyNumberFormat="1" applyFill="1" applyBorder="1" applyAlignment="1">
      <alignment horizontal="left"/>
    </xf>
    <xf numFmtId="4" fontId="27" fillId="7" borderId="2" xfId="0" applyNumberFormat="1" applyFont="1" applyFill="1" applyBorder="1" applyAlignment="1">
      <alignment horizontal="center"/>
    </xf>
    <xf numFmtId="4" fontId="27" fillId="7" borderId="10" xfId="0" applyNumberFormat="1" applyFont="1" applyFill="1" applyBorder="1" applyAlignment="1">
      <alignment horizontal="center"/>
    </xf>
    <xf numFmtId="4" fontId="27" fillId="7" borderId="11" xfId="0" applyNumberFormat="1" applyFont="1" applyFill="1" applyBorder="1" applyAlignment="1">
      <alignment horizontal="center"/>
    </xf>
    <xf numFmtId="4" fontId="27" fillId="7" borderId="12" xfId="0" applyNumberFormat="1" applyFont="1" applyFill="1" applyBorder="1" applyAlignment="1">
      <alignment horizontal="center"/>
    </xf>
    <xf numFmtId="3" fontId="24" fillId="4" borderId="3" xfId="0" applyNumberFormat="1" applyFont="1" applyFill="1" applyBorder="1" applyAlignment="1">
      <alignment horizontal="center" vertical="center" wrapText="1"/>
    </xf>
    <xf numFmtId="3" fontId="24" fillId="4" borderId="5" xfId="0" applyNumberFormat="1" applyFont="1" applyFill="1" applyBorder="1" applyAlignment="1">
      <alignment horizontal="center" vertical="center" wrapText="1"/>
    </xf>
    <xf numFmtId="3" fontId="24" fillId="4" borderId="7" xfId="0" applyNumberFormat="1" applyFont="1" applyFill="1" applyBorder="1" applyAlignment="1">
      <alignment horizontal="center" vertical="center" wrapText="1"/>
    </xf>
    <xf numFmtId="3" fontId="24" fillId="4" borderId="9" xfId="0" applyNumberFormat="1" applyFont="1" applyFill="1" applyBorder="1" applyAlignment="1">
      <alignment horizontal="center" vertical="center" wrapText="1"/>
    </xf>
    <xf numFmtId="3" fontId="24" fillId="4" borderId="4" xfId="0" applyNumberFormat="1" applyFont="1" applyFill="1" applyBorder="1" applyAlignment="1">
      <alignment horizontal="center" vertical="center" wrapText="1"/>
    </xf>
    <xf numFmtId="3" fontId="24" fillId="4" borderId="8" xfId="0" applyNumberFormat="1" applyFont="1" applyFill="1" applyBorder="1" applyAlignment="1">
      <alignment horizontal="center" vertical="center" wrapText="1"/>
    </xf>
    <xf numFmtId="3" fontId="24" fillId="4" borderId="2" xfId="0" applyNumberFormat="1" applyFont="1" applyFill="1" applyBorder="1" applyAlignment="1">
      <alignment horizontal="center" vertical="center" wrapText="1"/>
    </xf>
    <xf numFmtId="0" fontId="29" fillId="7" borderId="2" xfId="0" applyFont="1" applyFill="1" applyBorder="1" applyAlignment="1">
      <alignment horizontal="center" vertical="center"/>
    </xf>
    <xf numFmtId="164" fontId="0" fillId="2" borderId="2" xfId="1" applyNumberFormat="1" applyFont="1" applyFill="1" applyBorder="1" applyAlignment="1">
      <alignment horizontal="center" vertical="center" wrapText="1"/>
    </xf>
    <xf numFmtId="0" fontId="0" fillId="2" borderId="2" xfId="0" applyFill="1" applyBorder="1" applyAlignment="1">
      <alignment horizontal="center" vertical="center" wrapText="1"/>
    </xf>
    <xf numFmtId="3" fontId="0" fillId="2" borderId="2" xfId="0" applyNumberFormat="1" applyFill="1" applyBorder="1" applyAlignment="1">
      <alignment horizontal="center" vertical="center" wrapText="1"/>
    </xf>
    <xf numFmtId="4" fontId="0" fillId="2" borderId="2" xfId="0" applyNumberFormat="1" applyFill="1" applyBorder="1" applyAlignment="1">
      <alignment horizontal="center" vertical="center" wrapText="1"/>
    </xf>
    <xf numFmtId="9" fontId="0" fillId="2" borderId="2" xfId="1" applyFont="1" applyFill="1" applyBorder="1" applyAlignment="1">
      <alignment horizontal="center" vertical="center" wrapText="1"/>
    </xf>
    <xf numFmtId="0" fontId="12" fillId="7" borderId="2" xfId="0" applyFont="1" applyFill="1" applyBorder="1" applyAlignment="1">
      <alignment horizontal="center" vertical="center"/>
    </xf>
    <xf numFmtId="4" fontId="24" fillId="2" borderId="2" xfId="0" applyNumberFormat="1" applyFont="1" applyFill="1" applyBorder="1" applyAlignment="1">
      <alignment horizontal="center" vertical="center" wrapText="1"/>
    </xf>
    <xf numFmtId="1" fontId="0" fillId="2" borderId="2" xfId="1"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29" fillId="7" borderId="2"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0" fillId="6" borderId="3" xfId="0" applyFill="1" applyBorder="1" applyAlignment="1">
      <alignment horizontal="left" vertical="center" wrapText="1"/>
    </xf>
    <xf numFmtId="0" fontId="0" fillId="6" borderId="4" xfId="0" applyFill="1" applyBorder="1" applyAlignment="1">
      <alignment horizontal="left" vertical="center" wrapText="1"/>
    </xf>
    <xf numFmtId="0" fontId="0" fillId="6" borderId="5" xfId="0" applyFill="1" applyBorder="1" applyAlignment="1">
      <alignment horizontal="left" vertical="center" wrapText="1"/>
    </xf>
    <xf numFmtId="0" fontId="0" fillId="6" borderId="6" xfId="0" applyFill="1" applyBorder="1" applyAlignment="1">
      <alignment horizontal="left" vertical="center" wrapText="1"/>
    </xf>
    <xf numFmtId="0" fontId="0" fillId="6" borderId="0" xfId="0" applyFill="1" applyAlignment="1">
      <alignment horizontal="left" vertical="center" wrapText="1"/>
    </xf>
    <xf numFmtId="0" fontId="0" fillId="6" borderId="1" xfId="0" applyFill="1" applyBorder="1" applyAlignment="1">
      <alignment horizontal="left" vertical="center" wrapText="1"/>
    </xf>
    <xf numFmtId="0" fontId="0" fillId="6" borderId="7" xfId="0" applyFill="1" applyBorder="1" applyAlignment="1">
      <alignment horizontal="left" vertical="center" wrapText="1"/>
    </xf>
    <xf numFmtId="0" fontId="0" fillId="6" borderId="8" xfId="0" applyFill="1" applyBorder="1" applyAlignment="1">
      <alignment horizontal="left" vertical="center" wrapText="1"/>
    </xf>
    <xf numFmtId="0" fontId="0" fillId="6" borderId="9" xfId="0" applyFill="1" applyBorder="1" applyAlignment="1">
      <alignment horizontal="left" vertical="center" wrapText="1"/>
    </xf>
    <xf numFmtId="0" fontId="2"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0" fillId="6" borderId="3" xfId="0" applyFill="1" applyBorder="1" applyAlignment="1">
      <alignment horizontal="left" wrapText="1"/>
    </xf>
    <xf numFmtId="0" fontId="0" fillId="6" borderId="4" xfId="0" applyFill="1" applyBorder="1" applyAlignment="1">
      <alignment horizontal="left" wrapText="1"/>
    </xf>
    <xf numFmtId="0" fontId="0" fillId="6" borderId="5" xfId="0" applyFill="1" applyBorder="1" applyAlignment="1">
      <alignment horizontal="left" wrapText="1"/>
    </xf>
    <xf numFmtId="0" fontId="0" fillId="6" borderId="7" xfId="0" applyFill="1" applyBorder="1" applyAlignment="1">
      <alignment horizontal="left" wrapText="1"/>
    </xf>
    <xf numFmtId="0" fontId="0" fillId="6" borderId="8" xfId="0" applyFill="1" applyBorder="1" applyAlignment="1">
      <alignment horizontal="left" wrapText="1"/>
    </xf>
    <xf numFmtId="0" fontId="0" fillId="6" borderId="9" xfId="0" applyFill="1" applyBorder="1" applyAlignment="1">
      <alignment horizontal="left" wrapText="1"/>
    </xf>
    <xf numFmtId="4" fontId="25" fillId="2" borderId="2" xfId="0" applyNumberFormat="1" applyFont="1" applyFill="1" applyBorder="1" applyAlignment="1">
      <alignment horizontal="center" vertical="center" wrapText="1"/>
    </xf>
    <xf numFmtId="3" fontId="0" fillId="2" borderId="2" xfId="1" applyNumberFormat="1" applyFont="1" applyFill="1" applyBorder="1" applyAlignment="1">
      <alignment horizontal="center" vertical="center" wrapText="1"/>
    </xf>
    <xf numFmtId="4" fontId="31" fillId="2" borderId="2" xfId="0" applyNumberFormat="1" applyFont="1" applyFill="1" applyBorder="1" applyAlignment="1">
      <alignment horizontal="center" vertical="center" wrapText="1"/>
    </xf>
    <xf numFmtId="1" fontId="31" fillId="2" borderId="2" xfId="1" applyNumberFormat="1" applyFont="1" applyFill="1" applyBorder="1" applyAlignment="1">
      <alignment horizontal="center" vertical="center" wrapText="1"/>
    </xf>
    <xf numFmtId="0" fontId="2" fillId="4" borderId="2" xfId="0" applyFont="1" applyFill="1" applyBorder="1" applyAlignment="1">
      <alignment horizontal="center"/>
    </xf>
    <xf numFmtId="0" fontId="12" fillId="7" borderId="2" xfId="0" applyFont="1" applyFill="1" applyBorder="1" applyAlignment="1">
      <alignment horizontal="center"/>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3" fillId="4" borderId="2" xfId="0" applyFont="1" applyFill="1" applyBorder="1" applyAlignment="1">
      <alignment horizontal="center" vertical="center"/>
    </xf>
    <xf numFmtId="0" fontId="0" fillId="6" borderId="2" xfId="0" applyFill="1" applyBorder="1" applyAlignment="1">
      <alignment horizontal="left" wrapText="1"/>
    </xf>
    <xf numFmtId="0" fontId="0" fillId="6" borderId="2" xfId="0" applyFill="1" applyBorder="1" applyAlignment="1">
      <alignment horizontal="left"/>
    </xf>
    <xf numFmtId="4" fontId="0" fillId="6" borderId="3" xfId="0" applyNumberFormat="1" applyFill="1" applyBorder="1" applyAlignment="1">
      <alignment horizontal="left" vertical="center" wrapText="1"/>
    </xf>
    <xf numFmtId="4" fontId="0" fillId="6" borderId="4" xfId="0" applyNumberFormat="1" applyFill="1" applyBorder="1" applyAlignment="1">
      <alignment horizontal="left" vertical="center" wrapText="1"/>
    </xf>
    <xf numFmtId="4" fontId="0" fillId="6" borderId="5" xfId="0" applyNumberFormat="1" applyFill="1" applyBorder="1" applyAlignment="1">
      <alignment horizontal="left" vertical="center" wrapText="1"/>
    </xf>
    <xf numFmtId="4" fontId="0" fillId="6" borderId="7" xfId="0" applyNumberFormat="1" applyFill="1" applyBorder="1" applyAlignment="1">
      <alignment horizontal="left" vertical="center" wrapText="1"/>
    </xf>
    <xf numFmtId="4" fontId="0" fillId="6" borderId="8" xfId="0" applyNumberFormat="1" applyFill="1" applyBorder="1" applyAlignment="1">
      <alignment horizontal="left" vertical="center" wrapText="1"/>
    </xf>
    <xf numFmtId="4" fontId="0" fillId="6" borderId="9" xfId="0" applyNumberFormat="1" applyFill="1" applyBorder="1" applyAlignment="1">
      <alignment horizontal="left"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0" fillId="6" borderId="2" xfId="0" applyFill="1" applyBorder="1" applyAlignment="1">
      <alignment horizontal="left" vertical="center"/>
    </xf>
    <xf numFmtId="0" fontId="3" fillId="0" borderId="0" xfId="0" applyFont="1" applyAlignment="1">
      <alignment horizontal="center" vertical="center" wrapText="1"/>
    </xf>
    <xf numFmtId="0" fontId="0" fillId="4" borderId="2" xfId="0" applyFill="1" applyBorder="1" applyAlignment="1">
      <alignment horizontal="center"/>
    </xf>
    <xf numFmtId="0" fontId="25" fillId="4" borderId="2" xfId="0" applyFont="1" applyFill="1" applyBorder="1" applyAlignment="1">
      <alignment horizontal="center" vertical="center"/>
    </xf>
    <xf numFmtId="0" fontId="12" fillId="7" borderId="0" xfId="0" applyFont="1" applyFill="1" applyAlignment="1">
      <alignment horizontal="center" vertical="center"/>
    </xf>
    <xf numFmtId="0" fontId="4" fillId="2" borderId="2" xfId="0" applyFont="1" applyFill="1" applyBorder="1" applyAlignment="1">
      <alignment horizontal="center"/>
    </xf>
    <xf numFmtId="0" fontId="0" fillId="4" borderId="2" xfId="0" applyFill="1" applyBorder="1" applyAlignment="1">
      <alignment horizontal="center" vertical="center" wrapText="1"/>
    </xf>
    <xf numFmtId="0" fontId="0" fillId="7" borderId="0" xfId="0" applyFill="1" applyProtection="1">
      <protection locked="0"/>
    </xf>
    <xf numFmtId="0" fontId="12" fillId="7" borderId="0" xfId="0" applyFont="1" applyFill="1" applyAlignment="1" applyProtection="1">
      <alignment vertical="center"/>
      <protection locked="0"/>
    </xf>
    <xf numFmtId="0" fontId="0" fillId="8" borderId="3" xfId="0" applyFill="1" applyBorder="1" applyProtection="1">
      <protection locked="0"/>
    </xf>
    <xf numFmtId="0" fontId="0" fillId="8" borderId="4" xfId="0" applyFill="1" applyBorder="1" applyProtection="1">
      <protection locked="0"/>
    </xf>
    <xf numFmtId="0" fontId="0" fillId="8" borderId="5" xfId="0" applyFill="1" applyBorder="1" applyProtection="1">
      <protection locked="0"/>
    </xf>
    <xf numFmtId="0" fontId="0" fillId="9" borderId="0" xfId="0" applyFill="1" applyProtection="1">
      <protection locked="0"/>
    </xf>
    <xf numFmtId="0" fontId="0" fillId="9" borderId="0" xfId="0" applyFill="1" applyAlignment="1" applyProtection="1">
      <alignment horizontal="center"/>
      <protection locked="0"/>
    </xf>
    <xf numFmtId="0" fontId="0" fillId="8" borderId="6" xfId="0" applyFill="1" applyBorder="1" applyProtection="1">
      <protection locked="0"/>
    </xf>
    <xf numFmtId="0" fontId="0" fillId="8" borderId="1" xfId="0" applyFill="1" applyBorder="1" applyProtection="1">
      <protection locked="0"/>
    </xf>
    <xf numFmtId="0" fontId="1" fillId="9" borderId="0" xfId="0" applyFont="1" applyFill="1" applyAlignment="1" applyProtection="1">
      <alignment horizontal="left"/>
      <protection locked="0"/>
    </xf>
    <xf numFmtId="0" fontId="1" fillId="9" borderId="0" xfId="0" applyFont="1" applyFill="1" applyAlignment="1" applyProtection="1">
      <alignment horizontal="left"/>
      <protection locked="0"/>
    </xf>
    <xf numFmtId="0" fontId="0" fillId="9" borderId="0" xfId="0" applyFill="1" applyProtection="1">
      <protection locked="0"/>
    </xf>
    <xf numFmtId="0" fontId="0" fillId="9" borderId="0" xfId="0" applyFill="1" applyAlignment="1" applyProtection="1">
      <alignment horizontal="left"/>
      <protection locked="0"/>
    </xf>
    <xf numFmtId="0" fontId="0" fillId="9" borderId="0" xfId="0" applyFill="1" applyAlignment="1" applyProtection="1">
      <alignment horizontal="left"/>
      <protection locked="0"/>
    </xf>
    <xf numFmtId="0" fontId="0" fillId="9" borderId="0" xfId="0" applyFill="1" applyAlignment="1" applyProtection="1">
      <alignment horizontal="center"/>
      <protection locked="0"/>
    </xf>
    <xf numFmtId="0" fontId="0" fillId="8" borderId="7" xfId="0" applyFill="1" applyBorder="1" applyProtection="1">
      <protection locked="0"/>
    </xf>
    <xf numFmtId="0" fontId="0" fillId="8" borderId="9" xfId="0" applyFill="1" applyBorder="1" applyProtection="1">
      <protection locked="0"/>
    </xf>
    <xf numFmtId="0" fontId="0" fillId="9" borderId="0" xfId="0" applyFill="1" applyAlignment="1" applyProtection="1">
      <alignment vertical="center"/>
      <protection locked="0"/>
    </xf>
    <xf numFmtId="0" fontId="0" fillId="9" borderId="0" xfId="0" applyFill="1" applyAlignment="1" applyProtection="1">
      <alignment wrapText="1"/>
      <protection locked="0"/>
    </xf>
    <xf numFmtId="0" fontId="2" fillId="8" borderId="0" xfId="0" applyFont="1" applyFill="1" applyProtection="1"/>
    <xf numFmtId="0" fontId="0" fillId="8" borderId="0" xfId="0" applyFill="1" applyProtection="1"/>
    <xf numFmtId="0" fontId="0" fillId="8" borderId="0" xfId="0" applyFill="1" applyAlignment="1" applyProtection="1">
      <alignment horizontal="left" vertical="top" wrapText="1"/>
    </xf>
    <xf numFmtId="0" fontId="0" fillId="8" borderId="0" xfId="0" applyFill="1" applyAlignment="1" applyProtection="1">
      <alignment horizontal="left" vertical="top"/>
    </xf>
    <xf numFmtId="0" fontId="0" fillId="8" borderId="0" xfId="0" applyFill="1" applyAlignment="1" applyProtection="1">
      <alignment horizontal="left" vertical="top"/>
    </xf>
    <xf numFmtId="0" fontId="0" fillId="8" borderId="8" xfId="0" applyFill="1" applyBorder="1" applyProtection="1"/>
    <xf numFmtId="0" fontId="0" fillId="8" borderId="6" xfId="0" applyFill="1" applyBorder="1" applyAlignment="1" applyProtection="1">
      <alignment horizontal="left" vertical="top" wrapText="1"/>
    </xf>
    <xf numFmtId="0" fontId="0" fillId="8" borderId="1" xfId="0" applyFill="1" applyBorder="1" applyAlignment="1" applyProtection="1">
      <alignment horizontal="left" vertical="top" wrapText="1"/>
    </xf>
    <xf numFmtId="0" fontId="0" fillId="8" borderId="7" xfId="0" applyFill="1" applyBorder="1" applyAlignment="1" applyProtection="1">
      <alignment horizontal="left" vertical="top" wrapText="1"/>
    </xf>
    <xf numFmtId="0" fontId="0" fillId="8" borderId="8" xfId="0" applyFill="1" applyBorder="1" applyAlignment="1" applyProtection="1">
      <alignment horizontal="left" vertical="top" wrapText="1"/>
    </xf>
    <xf numFmtId="0" fontId="0" fillId="8" borderId="9" xfId="0" applyFill="1" applyBorder="1" applyAlignment="1" applyProtection="1">
      <alignment horizontal="left" vertical="top" wrapText="1"/>
    </xf>
    <xf numFmtId="0" fontId="12" fillId="7" borderId="10" xfId="0" applyFont="1" applyFill="1" applyBorder="1" applyAlignment="1" applyProtection="1">
      <alignment horizontal="center" vertical="center"/>
    </xf>
    <xf numFmtId="0" fontId="12" fillId="7" borderId="11" xfId="0" applyFont="1" applyFill="1" applyBorder="1" applyAlignment="1" applyProtection="1">
      <alignment horizontal="center" vertical="center"/>
    </xf>
    <xf numFmtId="0" fontId="12" fillId="7" borderId="12" xfId="0" applyFont="1" applyFill="1" applyBorder="1" applyAlignment="1" applyProtection="1">
      <alignment horizontal="center" vertical="center"/>
    </xf>
    <xf numFmtId="0" fontId="0" fillId="9" borderId="0" xfId="0" applyFill="1" applyProtection="1"/>
    <xf numFmtId="0" fontId="0" fillId="6" borderId="2" xfId="0" applyFill="1" applyBorder="1" applyAlignment="1" applyProtection="1">
      <alignment horizontal="left" vertical="center" wrapText="1"/>
    </xf>
    <xf numFmtId="4" fontId="25" fillId="4" borderId="10" xfId="0" applyNumberFormat="1" applyFont="1" applyFill="1" applyBorder="1" applyAlignment="1" applyProtection="1">
      <alignment horizontal="center" vertical="center" wrapText="1"/>
    </xf>
    <xf numFmtId="4" fontId="25" fillId="4" borderId="11" xfId="0" applyNumberFormat="1" applyFont="1" applyFill="1" applyBorder="1" applyAlignment="1" applyProtection="1">
      <alignment horizontal="center" vertical="center" wrapText="1"/>
    </xf>
    <xf numFmtId="4" fontId="25" fillId="4" borderId="12" xfId="0" applyNumberFormat="1" applyFont="1" applyFill="1" applyBorder="1" applyAlignment="1" applyProtection="1">
      <alignment horizontal="center" vertical="center" wrapText="1"/>
    </xf>
    <xf numFmtId="0" fontId="0" fillId="9" borderId="0" xfId="0" applyFill="1" applyAlignment="1" applyProtection="1">
      <alignment horizontal="center"/>
    </xf>
    <xf numFmtId="0" fontId="2" fillId="8" borderId="3" xfId="0" applyFont="1" applyFill="1" applyBorder="1" applyAlignment="1" applyProtection="1">
      <alignment horizontal="center" vertical="top" wrapText="1"/>
    </xf>
    <xf numFmtId="0" fontId="2" fillId="8" borderId="4" xfId="0" applyFont="1" applyFill="1" applyBorder="1" applyAlignment="1" applyProtection="1">
      <alignment horizontal="center" vertical="top" wrapText="1"/>
    </xf>
    <xf numFmtId="0" fontId="2" fillId="8" borderId="5" xfId="0" applyFont="1" applyFill="1" applyBorder="1" applyAlignment="1" applyProtection="1">
      <alignment horizontal="center" vertical="top" wrapText="1"/>
    </xf>
    <xf numFmtId="0" fontId="2" fillId="8" borderId="6" xfId="0" applyFont="1" applyFill="1" applyBorder="1" applyAlignment="1" applyProtection="1">
      <alignment horizontal="center" vertical="top" wrapText="1"/>
    </xf>
    <xf numFmtId="0" fontId="2" fillId="8" borderId="0" xfId="0" applyFont="1" applyFill="1" applyAlignment="1" applyProtection="1">
      <alignment horizontal="center" vertical="top" wrapText="1"/>
    </xf>
    <xf numFmtId="0" fontId="2" fillId="8" borderId="1" xfId="0" applyFont="1" applyFill="1" applyBorder="1" applyAlignment="1" applyProtection="1">
      <alignment horizontal="center" vertical="top" wrapText="1"/>
    </xf>
    <xf numFmtId="0" fontId="0" fillId="8" borderId="6" xfId="0" applyFill="1" applyBorder="1" applyAlignment="1" applyProtection="1">
      <alignment horizontal="left" vertical="top"/>
    </xf>
    <xf numFmtId="0" fontId="0" fillId="8" borderId="1" xfId="0" applyFill="1" applyBorder="1" applyAlignment="1" applyProtection="1">
      <alignment horizontal="left" vertical="top"/>
    </xf>
    <xf numFmtId="0" fontId="2" fillId="8" borderId="6" xfId="0" applyFont="1" applyFill="1" applyBorder="1" applyAlignment="1" applyProtection="1">
      <alignment vertical="top" wrapText="1"/>
    </xf>
    <xf numFmtId="0" fontId="2" fillId="8" borderId="0" xfId="0" applyFont="1" applyFill="1" applyAlignment="1" applyProtection="1">
      <alignment vertical="top" wrapText="1"/>
    </xf>
    <xf numFmtId="0" fontId="2" fillId="8" borderId="1" xfId="0" applyFont="1" applyFill="1" applyBorder="1" applyAlignment="1" applyProtection="1">
      <alignment vertical="top" wrapText="1"/>
    </xf>
    <xf numFmtId="4" fontId="25" fillId="4" borderId="2" xfId="0" applyNumberFormat="1" applyFont="1" applyFill="1" applyBorder="1" applyAlignment="1" applyProtection="1">
      <alignment horizontal="center" vertical="center" wrapText="1"/>
    </xf>
    <xf numFmtId="0" fontId="0" fillId="8" borderId="3" xfId="0" applyFill="1" applyBorder="1" applyAlignment="1" applyProtection="1">
      <alignment horizontal="left" vertical="center" wrapText="1"/>
    </xf>
    <xf numFmtId="0" fontId="0" fillId="8" borderId="4" xfId="0" applyFill="1" applyBorder="1" applyAlignment="1" applyProtection="1">
      <alignment horizontal="left" vertical="center" wrapText="1"/>
    </xf>
    <xf numFmtId="0" fontId="0" fillId="8" borderId="5" xfId="0" applyFill="1" applyBorder="1" applyAlignment="1" applyProtection="1">
      <alignment horizontal="left" vertical="center" wrapText="1"/>
    </xf>
    <xf numFmtId="0" fontId="0" fillId="8" borderId="6" xfId="0" applyFill="1" applyBorder="1" applyAlignment="1" applyProtection="1">
      <alignment horizontal="left" vertical="center" wrapText="1"/>
    </xf>
    <xf numFmtId="0" fontId="0" fillId="8" borderId="0" xfId="0" applyFill="1" applyAlignment="1" applyProtection="1">
      <alignment horizontal="left" vertical="center" wrapText="1"/>
    </xf>
    <xf numFmtId="0" fontId="0" fillId="8" borderId="1" xfId="0" applyFill="1" applyBorder="1" applyAlignment="1" applyProtection="1">
      <alignment horizontal="left" vertical="center" wrapText="1"/>
    </xf>
    <xf numFmtId="0" fontId="0" fillId="8" borderId="7" xfId="0" applyFill="1" applyBorder="1" applyAlignment="1" applyProtection="1">
      <alignment horizontal="left" vertical="top"/>
    </xf>
    <xf numFmtId="0" fontId="0" fillId="8" borderId="8" xfId="0" applyFill="1" applyBorder="1" applyAlignment="1" applyProtection="1">
      <alignment horizontal="left" vertical="top"/>
    </xf>
    <xf numFmtId="0" fontId="0" fillId="8" borderId="9" xfId="0" applyFill="1" applyBorder="1" applyAlignment="1" applyProtection="1">
      <alignment horizontal="left" vertical="top"/>
    </xf>
    <xf numFmtId="0" fontId="0" fillId="8" borderId="7" xfId="0" applyFill="1" applyBorder="1" applyAlignment="1" applyProtection="1">
      <alignment horizontal="left" vertical="center" wrapText="1"/>
    </xf>
    <xf numFmtId="0" fontId="0" fillId="8" borderId="8" xfId="0" applyFill="1" applyBorder="1" applyAlignment="1" applyProtection="1">
      <alignment horizontal="left" vertical="center" wrapText="1"/>
    </xf>
    <xf numFmtId="0" fontId="0" fillId="8" borderId="9" xfId="0" applyFill="1" applyBorder="1" applyAlignment="1" applyProtection="1">
      <alignment horizontal="left" vertical="center" wrapText="1"/>
    </xf>
    <xf numFmtId="0" fontId="0" fillId="6" borderId="10" xfId="0" applyFill="1" applyBorder="1" applyAlignment="1" applyProtection="1">
      <alignment horizontal="left" vertical="center" wrapText="1"/>
    </xf>
    <xf numFmtId="0" fontId="0" fillId="6" borderId="11" xfId="0" applyFill="1" applyBorder="1" applyAlignment="1" applyProtection="1">
      <alignment horizontal="left" vertical="center" wrapText="1"/>
    </xf>
    <xf numFmtId="0" fontId="0" fillId="6" borderId="12" xfId="0" applyFill="1" applyBorder="1" applyAlignment="1" applyProtection="1">
      <alignment horizontal="left" vertical="center" wrapText="1"/>
    </xf>
    <xf numFmtId="0" fontId="0" fillId="8" borderId="3" xfId="0" applyFill="1" applyBorder="1" applyAlignment="1" applyProtection="1">
      <alignment horizontal="center" vertical="top" wrapText="1"/>
    </xf>
    <xf numFmtId="0" fontId="0" fillId="8" borderId="6" xfId="0" applyFill="1" applyBorder="1" applyAlignment="1" applyProtection="1">
      <alignment horizontal="center" vertical="top" wrapText="1"/>
    </xf>
    <xf numFmtId="0" fontId="0" fillId="8" borderId="0" xfId="0" applyFill="1" applyAlignment="1" applyProtection="1">
      <alignment horizontal="center" vertical="top" wrapText="1"/>
    </xf>
    <xf numFmtId="0" fontId="0" fillId="8" borderId="1" xfId="0" applyFill="1" applyBorder="1" applyAlignment="1" applyProtection="1">
      <alignment horizontal="center" vertical="top" wrapText="1"/>
    </xf>
    <xf numFmtId="0" fontId="2" fillId="8" borderId="7" xfId="0" applyFont="1" applyFill="1" applyBorder="1" applyAlignment="1" applyProtection="1">
      <alignment horizontal="center" vertical="top" wrapText="1"/>
    </xf>
    <xf numFmtId="0" fontId="2" fillId="8" borderId="8" xfId="0" applyFont="1" applyFill="1" applyBorder="1" applyAlignment="1" applyProtection="1">
      <alignment horizontal="center" vertical="top" wrapText="1"/>
    </xf>
    <xf numFmtId="0" fontId="2" fillId="8" borderId="9" xfId="0" applyFont="1" applyFill="1" applyBorder="1" applyAlignment="1" applyProtection="1">
      <alignment horizontal="center" vertical="top" wrapText="1"/>
    </xf>
    <xf numFmtId="0" fontId="0" fillId="8" borderId="7" xfId="0" applyFill="1" applyBorder="1" applyAlignment="1" applyProtection="1">
      <alignment horizontal="center" vertical="top" wrapText="1"/>
    </xf>
    <xf numFmtId="0" fontId="0" fillId="8" borderId="8" xfId="0" applyFill="1" applyBorder="1" applyAlignment="1" applyProtection="1">
      <alignment horizontal="center" vertical="top" wrapText="1"/>
    </xf>
    <xf numFmtId="0" fontId="0" fillId="8" borderId="9" xfId="0" applyFill="1" applyBorder="1" applyAlignment="1" applyProtection="1">
      <alignment horizontal="center" vertical="top" wrapText="1"/>
    </xf>
    <xf numFmtId="4" fontId="0" fillId="2" borderId="2" xfId="0" applyNumberFormat="1" applyFill="1" applyBorder="1" applyAlignment="1" applyProtection="1">
      <alignment vertical="center" wrapText="1"/>
      <protection locked="0"/>
    </xf>
    <xf numFmtId="164" fontId="0" fillId="2" borderId="2" xfId="1" applyNumberFormat="1" applyFont="1" applyFill="1" applyBorder="1" applyAlignment="1" applyProtection="1">
      <alignment vertical="center" wrapText="1"/>
      <protection locked="0"/>
    </xf>
    <xf numFmtId="0" fontId="0" fillId="2" borderId="2" xfId="0" applyFill="1" applyBorder="1" applyAlignment="1" applyProtection="1">
      <alignment vertical="center" wrapText="1"/>
      <protection locked="0"/>
    </xf>
    <xf numFmtId="3" fontId="0" fillId="2" borderId="2" xfId="0" applyNumberFormat="1" applyFill="1" applyBorder="1" applyAlignment="1" applyProtection="1">
      <alignment vertical="center" wrapText="1"/>
      <protection locked="0"/>
    </xf>
    <xf numFmtId="4" fontId="0" fillId="2" borderId="2" xfId="0" applyNumberFormat="1" applyFill="1" applyBorder="1" applyAlignment="1" applyProtection="1">
      <alignment vertical="center" wrapText="1"/>
    </xf>
    <xf numFmtId="0" fontId="0" fillId="3" borderId="2" xfId="0" applyFill="1" applyBorder="1" applyAlignment="1" applyProtection="1">
      <alignment vertical="center" wrapText="1"/>
      <protection locked="0"/>
    </xf>
    <xf numFmtId="3" fontId="0" fillId="5" borderId="2" xfId="0" applyNumberFormat="1" applyFill="1" applyBorder="1" applyAlignment="1" applyProtection="1">
      <alignment vertical="center" wrapText="1"/>
      <protection locked="0"/>
    </xf>
    <xf numFmtId="0" fontId="0" fillId="3" borderId="2" xfId="1" applyNumberFormat="1" applyFont="1" applyFill="1" applyBorder="1" applyAlignment="1" applyProtection="1">
      <alignment vertical="center" wrapText="1"/>
      <protection locked="0"/>
    </xf>
    <xf numFmtId="9" fontId="0" fillId="3" borderId="2" xfId="1" applyFont="1" applyFill="1" applyBorder="1" applyAlignment="1" applyProtection="1">
      <alignment vertical="center" wrapText="1"/>
      <protection locked="0"/>
    </xf>
    <xf numFmtId="3" fontId="0" fillId="3" borderId="2" xfId="0" applyNumberFormat="1" applyFill="1" applyBorder="1" applyAlignment="1" applyProtection="1">
      <alignment vertical="center" wrapText="1"/>
      <protection locked="0"/>
    </xf>
    <xf numFmtId="164" fontId="0" fillId="3" borderId="2" xfId="1" applyNumberFormat="1" applyFont="1" applyFill="1" applyBorder="1" applyAlignment="1" applyProtection="1">
      <alignment vertical="center" wrapText="1"/>
      <protection locked="0"/>
    </xf>
    <xf numFmtId="3" fontId="0" fillId="3" borderId="2" xfId="1" applyNumberFormat="1" applyFont="1" applyFill="1" applyBorder="1" applyAlignment="1" applyProtection="1">
      <alignment vertical="center" wrapText="1"/>
      <protection locked="0"/>
    </xf>
    <xf numFmtId="4" fontId="0" fillId="3" borderId="2" xfId="0" applyNumberFormat="1" applyFill="1" applyBorder="1" applyAlignment="1" applyProtection="1">
      <alignment vertical="center" wrapText="1"/>
      <protection locked="0"/>
    </xf>
    <xf numFmtId="4" fontId="0" fillId="3" borderId="2" xfId="1" applyNumberFormat="1" applyFont="1" applyFill="1" applyBorder="1" applyAlignment="1" applyProtection="1">
      <alignment vertical="center" wrapText="1"/>
      <protection locked="0"/>
    </xf>
    <xf numFmtId="0" fontId="4" fillId="3" borderId="2" xfId="0" applyFont="1" applyFill="1" applyBorder="1" applyAlignment="1" applyProtection="1">
      <alignment vertical="center" wrapText="1"/>
      <protection locked="0"/>
    </xf>
    <xf numFmtId="0" fontId="4" fillId="3" borderId="13" xfId="0" applyFont="1" applyFill="1" applyBorder="1" applyAlignment="1" applyProtection="1">
      <alignment vertical="center" wrapText="1"/>
      <protection locked="0"/>
    </xf>
    <xf numFmtId="3" fontId="4" fillId="3" borderId="2" xfId="0" applyNumberFormat="1" applyFont="1" applyFill="1" applyBorder="1" applyAlignment="1" applyProtection="1">
      <alignment vertical="center" wrapText="1"/>
      <protection locked="0"/>
    </xf>
    <xf numFmtId="0" fontId="0" fillId="5" borderId="2" xfId="0" applyFill="1" applyBorder="1" applyAlignment="1" applyProtection="1">
      <alignment vertical="center" wrapText="1"/>
      <protection locked="0"/>
    </xf>
    <xf numFmtId="165" fontId="0" fillId="3" borderId="2" xfId="0" applyNumberFormat="1" applyFill="1" applyBorder="1" applyAlignment="1" applyProtection="1">
      <alignment vertical="center" wrapText="1"/>
      <protection locked="0"/>
    </xf>
    <xf numFmtId="0" fontId="4" fillId="5" borderId="2" xfId="0" applyFont="1" applyFill="1" applyBorder="1" applyProtection="1">
      <protection locked="0"/>
    </xf>
    <xf numFmtId="2" fontId="4" fillId="5" borderId="2" xfId="0" applyNumberFormat="1" applyFont="1" applyFill="1" applyBorder="1" applyProtection="1">
      <protection locked="0"/>
    </xf>
    <xf numFmtId="0" fontId="4" fillId="5" borderId="2" xfId="0" applyFont="1" applyFill="1" applyBorder="1" applyAlignment="1" applyProtection="1">
      <alignment horizontal="center"/>
      <protection locked="0"/>
    </xf>
  </cellXfs>
  <cellStyles count="3">
    <cellStyle name="Link" xfId="2" builtinId="8"/>
    <cellStyle name="Prozent" xfId="1" builtinId="5"/>
    <cellStyle name="Standard" xfId="0" builtinId="0"/>
  </cellStyles>
  <dxfs count="0"/>
  <tableStyles count="0" defaultTableStyle="TableStyleMedium2" defaultPivotStyle="PivotStyleLight16"/>
  <colors>
    <mruColors>
      <color rgb="FFE3E4EA"/>
      <color rgb="FFC0E6F5"/>
      <color rgb="FFF8E4F6"/>
      <color rgb="FF44B3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solidFill>
                <a:latin typeface="+mn-lt"/>
                <a:ea typeface="+mn-ea"/>
                <a:cs typeface="+mn-cs"/>
              </a:defRPr>
            </a:pPr>
            <a:r>
              <a:rPr lang="de-DE" b="1"/>
              <a:t>Figure 1: Population Development with Hydrogen-Related Workforce &amp; Family Relocation </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tx>
            <c:strRef>
              <c:f>'4. Lüderitz Population Calc'!$AL$29:$AL$30</c:f>
              <c:strCache>
                <c:ptCount val="2"/>
                <c:pt idx="0">
                  <c:v>Scenario 1 </c:v>
                </c:pt>
              </c:strCache>
            </c:strRef>
          </c:tx>
          <c:spPr>
            <a:ln w="28575" cap="rnd">
              <a:solidFill>
                <a:schemeClr val="accent1"/>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Calc'!$AL$31:$AL$56</c:f>
              <c:numCache>
                <c:formatCode>#,##0</c:formatCode>
                <c:ptCount val="26"/>
                <c:pt idx="0">
                  <c:v>17000</c:v>
                </c:pt>
                <c:pt idx="1">
                  <c:v>21278.6</c:v>
                </c:pt>
                <c:pt idx="2">
                  <c:v>22432.250599999999</c:v>
                </c:pt>
                <c:pt idx="3">
                  <c:v>23359.327862599999</c:v>
                </c:pt>
                <c:pt idx="4">
                  <c:v>23849.873747714599</c:v>
                </c:pt>
                <c:pt idx="5">
                  <c:v>24464.721096416604</c:v>
                </c:pt>
                <c:pt idx="6">
                  <c:v>28900.080239441351</c:v>
                </c:pt>
                <c:pt idx="7">
                  <c:v>29506.981924469619</c:v>
                </c:pt>
                <c:pt idx="8">
                  <c:v>30126.628544883482</c:v>
                </c:pt>
                <c:pt idx="9">
                  <c:v>34680.887744326035</c:v>
                </c:pt>
                <c:pt idx="10">
                  <c:v>35409.186386956884</c:v>
                </c:pt>
                <c:pt idx="11">
                  <c:v>36152.779301082977</c:v>
                </c:pt>
                <c:pt idx="12">
                  <c:v>36911.987666405723</c:v>
                </c:pt>
                <c:pt idx="13">
                  <c:v>37687.139407400246</c:v>
                </c:pt>
                <c:pt idx="14">
                  <c:v>38478.569334955653</c:v>
                </c:pt>
                <c:pt idx="15">
                  <c:v>39286.619290989722</c:v>
                </c:pt>
                <c:pt idx="16">
                  <c:v>40111.638296100507</c:v>
                </c:pt>
                <c:pt idx="17">
                  <c:v>40953.982700318615</c:v>
                </c:pt>
                <c:pt idx="18">
                  <c:v>41814.016337025307</c:v>
                </c:pt>
                <c:pt idx="19">
                  <c:v>42692.110680102836</c:v>
                </c:pt>
                <c:pt idx="20">
                  <c:v>43588.645004384998</c:v>
                </c:pt>
                <c:pt idx="21">
                  <c:v>44504.006549477082</c:v>
                </c:pt>
                <c:pt idx="22">
                  <c:v>45438.590687016098</c:v>
                </c:pt>
                <c:pt idx="23">
                  <c:v>46392.801091443434</c:v>
                </c:pt>
                <c:pt idx="24">
                  <c:v>47367.04991436375</c:v>
                </c:pt>
                <c:pt idx="25">
                  <c:v>48361.757962565389</c:v>
                </c:pt>
              </c:numCache>
            </c:numRef>
          </c:val>
          <c:smooth val="0"/>
          <c:extLst>
            <c:ext xmlns:c16="http://schemas.microsoft.com/office/drawing/2014/chart" uri="{C3380CC4-5D6E-409C-BE32-E72D297353CC}">
              <c16:uniqueId val="{00000000-0481-45E9-AFC0-EE0B8E304673}"/>
            </c:ext>
          </c:extLst>
        </c:ser>
        <c:ser>
          <c:idx val="9"/>
          <c:order val="1"/>
          <c:tx>
            <c:strRef>
              <c:f>'4. Lüderitz Population Calc'!$AM$29:$AM$30</c:f>
              <c:strCache>
                <c:ptCount val="2"/>
                <c:pt idx="0">
                  <c:v>Scenario 2</c:v>
                </c:pt>
              </c:strCache>
            </c:strRef>
          </c:tx>
          <c:spPr>
            <a:ln w="28575" cap="rnd">
              <a:solidFill>
                <a:schemeClr val="accent4">
                  <a:lumMod val="60000"/>
                </a:schemeClr>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Calc'!$AM$31:$AM$56</c:f>
              <c:numCache>
                <c:formatCode>#,##0</c:formatCode>
                <c:ptCount val="26"/>
                <c:pt idx="0">
                  <c:v>17000</c:v>
                </c:pt>
                <c:pt idx="1">
                  <c:v>21278.6</c:v>
                </c:pt>
                <c:pt idx="2">
                  <c:v>22432.250599999999</c:v>
                </c:pt>
                <c:pt idx="3">
                  <c:v>23359.327862599999</c:v>
                </c:pt>
                <c:pt idx="4">
                  <c:v>23849.873747714599</c:v>
                </c:pt>
                <c:pt idx="5">
                  <c:v>40424.721096416601</c:v>
                </c:pt>
                <c:pt idx="6">
                  <c:v>45195.240239441351</c:v>
                </c:pt>
                <c:pt idx="7">
                  <c:v>46144.340284469617</c:v>
                </c:pt>
                <c:pt idx="8">
                  <c:v>47113.371430443476</c:v>
                </c:pt>
                <c:pt idx="9">
                  <c:v>52024.352230482786</c:v>
                </c:pt>
                <c:pt idx="10">
                  <c:v>53116.863627322928</c:v>
                </c:pt>
                <c:pt idx="11">
                  <c:v>54232.317763496707</c:v>
                </c:pt>
                <c:pt idx="12">
                  <c:v>55371.196436530139</c:v>
                </c:pt>
                <c:pt idx="13">
                  <c:v>56533.991561697272</c:v>
                </c:pt>
                <c:pt idx="14">
                  <c:v>57721.205384492918</c:v>
                </c:pt>
                <c:pt idx="15">
                  <c:v>58933.350697567272</c:v>
                </c:pt>
                <c:pt idx="16">
                  <c:v>60170.951062216183</c:v>
                </c:pt>
                <c:pt idx="17">
                  <c:v>61434.541034522721</c:v>
                </c:pt>
                <c:pt idx="18">
                  <c:v>62724.666396247696</c:v>
                </c:pt>
                <c:pt idx="19">
                  <c:v>64041.884390568899</c:v>
                </c:pt>
                <c:pt idx="20">
                  <c:v>65386.763962770849</c:v>
                </c:pt>
                <c:pt idx="21">
                  <c:v>66759.886005989043</c:v>
                </c:pt>
                <c:pt idx="22">
                  <c:v>68161.843612114812</c:v>
                </c:pt>
                <c:pt idx="23">
                  <c:v>69593.242327969216</c:v>
                </c:pt>
                <c:pt idx="24">
                  <c:v>71054.700416856576</c:v>
                </c:pt>
                <c:pt idx="25">
                  <c:v>72546.849125610563</c:v>
                </c:pt>
              </c:numCache>
            </c:numRef>
          </c:val>
          <c:smooth val="0"/>
          <c:extLst>
            <c:ext xmlns:c16="http://schemas.microsoft.com/office/drawing/2014/chart" uri="{C3380CC4-5D6E-409C-BE32-E72D297353CC}">
              <c16:uniqueId val="{00000000-43E8-4D37-9A0F-46DA9A72BD10}"/>
            </c:ext>
          </c:extLst>
        </c:ser>
        <c:ser>
          <c:idx val="1"/>
          <c:order val="2"/>
          <c:tx>
            <c:strRef>
              <c:f>'4. Lüderitz Population Calc'!$AM$29:$AM$30</c:f>
              <c:strCache>
                <c:ptCount val="2"/>
                <c:pt idx="0">
                  <c:v>Scenario 2</c:v>
                </c:pt>
              </c:strCache>
            </c:strRef>
          </c:tx>
          <c:spPr>
            <a:ln w="28575" cap="rnd">
              <a:solidFill>
                <a:schemeClr val="accent2"/>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Calc'!$AM$31:$AM$56</c:f>
              <c:numCache>
                <c:formatCode>#,##0</c:formatCode>
                <c:ptCount val="26"/>
                <c:pt idx="0">
                  <c:v>17000</c:v>
                </c:pt>
                <c:pt idx="1">
                  <c:v>21278.6</c:v>
                </c:pt>
                <c:pt idx="2">
                  <c:v>22432.250599999999</c:v>
                </c:pt>
                <c:pt idx="3">
                  <c:v>23359.327862599999</c:v>
                </c:pt>
                <c:pt idx="4">
                  <c:v>23849.873747714599</c:v>
                </c:pt>
                <c:pt idx="5">
                  <c:v>40424.721096416601</c:v>
                </c:pt>
                <c:pt idx="6">
                  <c:v>45195.240239441351</c:v>
                </c:pt>
                <c:pt idx="7">
                  <c:v>46144.340284469617</c:v>
                </c:pt>
                <c:pt idx="8">
                  <c:v>47113.371430443476</c:v>
                </c:pt>
                <c:pt idx="9">
                  <c:v>52024.352230482786</c:v>
                </c:pt>
                <c:pt idx="10">
                  <c:v>53116.863627322928</c:v>
                </c:pt>
                <c:pt idx="11">
                  <c:v>54232.317763496707</c:v>
                </c:pt>
                <c:pt idx="12">
                  <c:v>55371.196436530139</c:v>
                </c:pt>
                <c:pt idx="13">
                  <c:v>56533.991561697272</c:v>
                </c:pt>
                <c:pt idx="14">
                  <c:v>57721.205384492918</c:v>
                </c:pt>
                <c:pt idx="15">
                  <c:v>58933.350697567272</c:v>
                </c:pt>
                <c:pt idx="16">
                  <c:v>60170.951062216183</c:v>
                </c:pt>
                <c:pt idx="17">
                  <c:v>61434.541034522721</c:v>
                </c:pt>
                <c:pt idx="18">
                  <c:v>62724.666396247696</c:v>
                </c:pt>
                <c:pt idx="19">
                  <c:v>64041.884390568899</c:v>
                </c:pt>
                <c:pt idx="20">
                  <c:v>65386.763962770849</c:v>
                </c:pt>
                <c:pt idx="21">
                  <c:v>66759.886005989043</c:v>
                </c:pt>
                <c:pt idx="22">
                  <c:v>68161.843612114812</c:v>
                </c:pt>
                <c:pt idx="23">
                  <c:v>69593.242327969216</c:v>
                </c:pt>
                <c:pt idx="24">
                  <c:v>71054.700416856576</c:v>
                </c:pt>
                <c:pt idx="25">
                  <c:v>72546.849125610563</c:v>
                </c:pt>
              </c:numCache>
            </c:numRef>
          </c:val>
          <c:smooth val="0"/>
          <c:extLst>
            <c:ext xmlns:c16="http://schemas.microsoft.com/office/drawing/2014/chart" uri="{C3380CC4-5D6E-409C-BE32-E72D297353CC}">
              <c16:uniqueId val="{00000001-0481-45E9-AFC0-EE0B8E304673}"/>
            </c:ext>
          </c:extLst>
        </c:ser>
        <c:ser>
          <c:idx val="2"/>
          <c:order val="3"/>
          <c:tx>
            <c:strRef>
              <c:f>'4. Lüderitz Population Calc'!$AN$29</c:f>
              <c:strCache>
                <c:ptCount val="1"/>
                <c:pt idx="0">
                  <c:v>Scenario 3a</c:v>
                </c:pt>
              </c:strCache>
            </c:strRef>
          </c:tx>
          <c:spPr>
            <a:ln w="28575" cap="rnd">
              <a:solidFill>
                <a:schemeClr val="accent3"/>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Calc'!$AN$31:$AN$56</c:f>
              <c:numCache>
                <c:formatCode>#,##0</c:formatCode>
                <c:ptCount val="26"/>
                <c:pt idx="0">
                  <c:v>17000</c:v>
                </c:pt>
                <c:pt idx="1">
                  <c:v>21278.6</c:v>
                </c:pt>
                <c:pt idx="2">
                  <c:v>37432.250599999999</c:v>
                </c:pt>
                <c:pt idx="3">
                  <c:v>38674.327862600003</c:v>
                </c:pt>
                <c:pt idx="4">
                  <c:v>39486.488747714604</c:v>
                </c:pt>
                <c:pt idx="5">
                  <c:v>40429.705011416612</c:v>
                </c:pt>
                <c:pt idx="6">
                  <c:v>45200.328816656358</c:v>
                </c:pt>
                <c:pt idx="7">
                  <c:v>46149.53572180614</c:v>
                </c:pt>
                <c:pt idx="8">
                  <c:v>47118.675971964069</c:v>
                </c:pt>
                <c:pt idx="9">
                  <c:v>40029.76816737531</c:v>
                </c:pt>
                <c:pt idx="10">
                  <c:v>40870.393298890194</c:v>
                </c:pt>
                <c:pt idx="11">
                  <c:v>41728.67155816689</c:v>
                </c:pt>
                <c:pt idx="12">
                  <c:v>42604.973660888398</c:v>
                </c:pt>
                <c:pt idx="13">
                  <c:v>43499.678107767053</c:v>
                </c:pt>
                <c:pt idx="14">
                  <c:v>44413.171348030162</c:v>
                </c:pt>
                <c:pt idx="15">
                  <c:v>45345.847946338799</c:v>
                </c:pt>
                <c:pt idx="16">
                  <c:v>46298.110753211913</c:v>
                </c:pt>
                <c:pt idx="17">
                  <c:v>47270.371079029363</c:v>
                </c:pt>
                <c:pt idx="18">
                  <c:v>48263.048871688981</c:v>
                </c:pt>
                <c:pt idx="19">
                  <c:v>49276.572897994447</c:v>
                </c:pt>
                <c:pt idx="20">
                  <c:v>50311.380928852333</c:v>
                </c:pt>
                <c:pt idx="21">
                  <c:v>51367.919928358235</c:v>
                </c:pt>
                <c:pt idx="22">
                  <c:v>52446.646246853757</c:v>
                </c:pt>
                <c:pt idx="23">
                  <c:v>53548.025818037684</c:v>
                </c:pt>
                <c:pt idx="24">
                  <c:v>54672.534360216472</c:v>
                </c:pt>
                <c:pt idx="25">
                  <c:v>55820.657581781015</c:v>
                </c:pt>
              </c:numCache>
            </c:numRef>
          </c:val>
          <c:smooth val="0"/>
          <c:extLst>
            <c:ext xmlns:c16="http://schemas.microsoft.com/office/drawing/2014/chart" uri="{C3380CC4-5D6E-409C-BE32-E72D297353CC}">
              <c16:uniqueId val="{00000002-0481-45E9-AFC0-EE0B8E304673}"/>
            </c:ext>
          </c:extLst>
        </c:ser>
        <c:ser>
          <c:idx val="3"/>
          <c:order val="4"/>
          <c:tx>
            <c:strRef>
              <c:f>'4. Lüderitz Population Calc'!$AO$29</c:f>
              <c:strCache>
                <c:ptCount val="1"/>
                <c:pt idx="0">
                  <c:v>Scenario 3b</c:v>
                </c:pt>
              </c:strCache>
            </c:strRef>
          </c:tx>
          <c:spPr>
            <a:ln w="28575" cap="rnd">
              <a:solidFill>
                <a:schemeClr val="accent4"/>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Calc'!$AO$31:$AO$56</c:f>
              <c:numCache>
                <c:formatCode>#,##0</c:formatCode>
                <c:ptCount val="26"/>
                <c:pt idx="0">
                  <c:v>17000</c:v>
                </c:pt>
                <c:pt idx="1">
                  <c:v>21278.6</c:v>
                </c:pt>
                <c:pt idx="2">
                  <c:v>56632.250599999999</c:v>
                </c:pt>
                <c:pt idx="3">
                  <c:v>58277.5278626</c:v>
                </c:pt>
                <c:pt idx="4">
                  <c:v>59501.355947714597</c:v>
                </c:pt>
                <c:pt idx="5">
                  <c:v>60864.884422616604</c:v>
                </c:pt>
                <c:pt idx="6">
                  <c:v>66064.646995491552</c:v>
                </c:pt>
                <c:pt idx="7">
                  <c:v>67452.004582396868</c:v>
                </c:pt>
                <c:pt idx="8">
                  <c:v>68868.496678627198</c:v>
                </c:pt>
                <c:pt idx="9">
                  <c:v>81076.335108878382</c:v>
                </c:pt>
                <c:pt idx="10">
                  <c:v>82778.93814616483</c:v>
                </c:pt>
                <c:pt idx="11">
                  <c:v>84517.295847234287</c:v>
                </c:pt>
                <c:pt idx="12">
                  <c:v>86292.159060026213</c:v>
                </c:pt>
                <c:pt idx="13">
                  <c:v>88104.294400286759</c:v>
                </c:pt>
                <c:pt idx="14">
                  <c:v>89954.484582692778</c:v>
                </c:pt>
                <c:pt idx="15">
                  <c:v>91843.528758929329</c:v>
                </c:pt>
                <c:pt idx="16">
                  <c:v>93772.242862866842</c:v>
                </c:pt>
                <c:pt idx="17">
                  <c:v>95741.45996298705</c:v>
                </c:pt>
                <c:pt idx="18">
                  <c:v>97752.030622209772</c:v>
                </c:pt>
                <c:pt idx="19">
                  <c:v>99804.82326527618</c:v>
                </c:pt>
                <c:pt idx="20">
                  <c:v>101900.72455384699</c:v>
                </c:pt>
                <c:pt idx="21">
                  <c:v>104040.63976947777</c:v>
                </c:pt>
                <c:pt idx="22">
                  <c:v>106225.4932046368</c:v>
                </c:pt>
                <c:pt idx="23">
                  <c:v>108456.22856193417</c:v>
                </c:pt>
                <c:pt idx="24">
                  <c:v>110733.80936173479</c:v>
                </c:pt>
                <c:pt idx="25">
                  <c:v>113059.21935833122</c:v>
                </c:pt>
              </c:numCache>
            </c:numRef>
          </c:val>
          <c:smooth val="0"/>
          <c:extLst>
            <c:ext xmlns:c16="http://schemas.microsoft.com/office/drawing/2014/chart" uri="{C3380CC4-5D6E-409C-BE32-E72D297353CC}">
              <c16:uniqueId val="{00000003-0481-45E9-AFC0-EE0B8E304673}"/>
            </c:ext>
          </c:extLst>
        </c:ser>
        <c:ser>
          <c:idx val="4"/>
          <c:order val="5"/>
          <c:tx>
            <c:strRef>
              <c:f>'4. Lüderitz Population Calc'!$AP$29</c:f>
              <c:strCache>
                <c:ptCount val="1"/>
                <c:pt idx="0">
                  <c:v>Scenario 4a</c:v>
                </c:pt>
              </c:strCache>
            </c:strRef>
          </c:tx>
          <c:spPr>
            <a:ln w="28575" cap="rnd">
              <a:solidFill>
                <a:schemeClr val="accent5"/>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Calc'!$AP$31:$AP$56</c:f>
              <c:numCache>
                <c:formatCode>#,##0</c:formatCode>
                <c:ptCount val="26"/>
                <c:pt idx="0">
                  <c:v>17000</c:v>
                </c:pt>
                <c:pt idx="1">
                  <c:v>21278.6</c:v>
                </c:pt>
                <c:pt idx="2">
                  <c:v>37432.250599999999</c:v>
                </c:pt>
                <c:pt idx="3">
                  <c:v>38674.327862600003</c:v>
                </c:pt>
                <c:pt idx="4">
                  <c:v>39486.488747714604</c:v>
                </c:pt>
                <c:pt idx="5">
                  <c:v>56389.705011416612</c:v>
                </c:pt>
                <c:pt idx="6">
                  <c:v>61495.488816656361</c:v>
                </c:pt>
                <c:pt idx="7">
                  <c:v>62786.894081806146</c:v>
                </c:pt>
                <c:pt idx="8">
                  <c:v>64105.418857524077</c:v>
                </c:pt>
                <c:pt idx="9">
                  <c:v>57373.23265353209</c:v>
                </c:pt>
                <c:pt idx="10">
                  <c:v>58578.070539256267</c:v>
                </c:pt>
                <c:pt idx="11">
                  <c:v>59808.210020580649</c:v>
                </c:pt>
                <c:pt idx="12">
                  <c:v>61064.182431012843</c:v>
                </c:pt>
                <c:pt idx="13">
                  <c:v>62346.530262064116</c:v>
                </c:pt>
                <c:pt idx="14">
                  <c:v>63655.807397567463</c:v>
                </c:pt>
                <c:pt idx="15">
                  <c:v>64992.579352916378</c:v>
                </c:pt>
                <c:pt idx="16">
                  <c:v>66357.423519327625</c:v>
                </c:pt>
                <c:pt idx="17">
                  <c:v>67750.929413233505</c:v>
                </c:pt>
                <c:pt idx="18">
                  <c:v>69173.698930911414</c:v>
                </c:pt>
                <c:pt idx="19">
                  <c:v>70626.346608460561</c:v>
                </c:pt>
                <c:pt idx="20">
                  <c:v>72109.499887238228</c:v>
                </c:pt>
                <c:pt idx="21">
                  <c:v>73623.799384870232</c:v>
                </c:pt>
                <c:pt idx="22">
                  <c:v>75169.899171952507</c:v>
                </c:pt>
                <c:pt idx="23">
                  <c:v>76748.467054563516</c:v>
                </c:pt>
                <c:pt idx="24">
                  <c:v>78360.184862709357</c:v>
                </c:pt>
                <c:pt idx="25">
                  <c:v>80005.748744826255</c:v>
                </c:pt>
              </c:numCache>
            </c:numRef>
          </c:val>
          <c:smooth val="0"/>
          <c:extLst>
            <c:ext xmlns:c16="http://schemas.microsoft.com/office/drawing/2014/chart" uri="{C3380CC4-5D6E-409C-BE32-E72D297353CC}">
              <c16:uniqueId val="{00000004-0481-45E9-AFC0-EE0B8E304673}"/>
            </c:ext>
          </c:extLst>
        </c:ser>
        <c:ser>
          <c:idx val="5"/>
          <c:order val="6"/>
          <c:tx>
            <c:strRef>
              <c:f>'4. Lüderitz Population Calc'!$AR$29</c:f>
              <c:strCache>
                <c:ptCount val="1"/>
                <c:pt idx="0">
                  <c:v>Scenario 5a</c:v>
                </c:pt>
              </c:strCache>
            </c:strRef>
          </c:tx>
          <c:spPr>
            <a:ln w="28575" cap="rnd">
              <a:solidFill>
                <a:schemeClr val="accent6"/>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Calc'!$AQ$31:$AQ$56</c:f>
              <c:numCache>
                <c:formatCode>#,##0</c:formatCode>
                <c:ptCount val="26"/>
                <c:pt idx="0">
                  <c:v>17000</c:v>
                </c:pt>
                <c:pt idx="1">
                  <c:v>21278.6</c:v>
                </c:pt>
                <c:pt idx="2">
                  <c:v>56632.250599999999</c:v>
                </c:pt>
                <c:pt idx="3">
                  <c:v>58277.5278626</c:v>
                </c:pt>
                <c:pt idx="4">
                  <c:v>59501.355947714597</c:v>
                </c:pt>
                <c:pt idx="5">
                  <c:v>76824.884422616597</c:v>
                </c:pt>
                <c:pt idx="6">
                  <c:v>82359.806995491555</c:v>
                </c:pt>
                <c:pt idx="7">
                  <c:v>84089.362942396881</c:v>
                </c:pt>
                <c:pt idx="8">
                  <c:v>85855.239564187214</c:v>
                </c:pt>
                <c:pt idx="9">
                  <c:v>98419.799595035147</c:v>
                </c:pt>
                <c:pt idx="10">
                  <c:v>100486.61538653089</c:v>
                </c:pt>
                <c:pt idx="11">
                  <c:v>102596.83430964804</c:v>
                </c:pt>
                <c:pt idx="12">
                  <c:v>104751.36783015064</c:v>
                </c:pt>
                <c:pt idx="13">
                  <c:v>106951.14655458381</c:v>
                </c:pt>
                <c:pt idx="14">
                  <c:v>109197.12063223007</c:v>
                </c:pt>
                <c:pt idx="15">
                  <c:v>111490.2601655069</c:v>
                </c:pt>
                <c:pt idx="16">
                  <c:v>113831.55562898255</c:v>
                </c:pt>
                <c:pt idx="17">
                  <c:v>116222.01829719119</c:v>
                </c:pt>
                <c:pt idx="18">
                  <c:v>118662.6806814322</c:v>
                </c:pt>
                <c:pt idx="19">
                  <c:v>121154.59697574229</c:v>
                </c:pt>
                <c:pt idx="20">
                  <c:v>123698.84351223288</c:v>
                </c:pt>
                <c:pt idx="21">
                  <c:v>126296.51922598977</c:v>
                </c:pt>
                <c:pt idx="22">
                  <c:v>128948.74612973556</c:v>
                </c:pt>
                <c:pt idx="23">
                  <c:v>131656.66979846</c:v>
                </c:pt>
                <c:pt idx="24">
                  <c:v>134421.45986422765</c:v>
                </c:pt>
                <c:pt idx="25">
                  <c:v>137244.31052137644</c:v>
                </c:pt>
              </c:numCache>
            </c:numRef>
          </c:val>
          <c:smooth val="0"/>
          <c:extLst>
            <c:ext xmlns:c16="http://schemas.microsoft.com/office/drawing/2014/chart" uri="{C3380CC4-5D6E-409C-BE32-E72D297353CC}">
              <c16:uniqueId val="{00000005-0481-45E9-AFC0-EE0B8E304673}"/>
            </c:ext>
          </c:extLst>
        </c:ser>
        <c:ser>
          <c:idx val="6"/>
          <c:order val="7"/>
          <c:tx>
            <c:strRef>
              <c:f>'4. Lüderitz Population Calc'!$AR$29</c:f>
              <c:strCache>
                <c:ptCount val="1"/>
                <c:pt idx="0">
                  <c:v>Scenario 5a</c:v>
                </c:pt>
              </c:strCache>
            </c:strRef>
          </c:tx>
          <c:spPr>
            <a:ln w="28575" cap="rnd">
              <a:solidFill>
                <a:schemeClr val="accent1">
                  <a:lumMod val="60000"/>
                </a:schemeClr>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Calc'!$AR$31:$AR$56</c:f>
              <c:numCache>
                <c:formatCode>#,##0</c:formatCode>
                <c:ptCount val="26"/>
                <c:pt idx="0">
                  <c:v>17000</c:v>
                </c:pt>
                <c:pt idx="1">
                  <c:v>21278.6</c:v>
                </c:pt>
                <c:pt idx="2">
                  <c:v>56632.250599999999</c:v>
                </c:pt>
                <c:pt idx="3">
                  <c:v>58277.5278626</c:v>
                </c:pt>
                <c:pt idx="4">
                  <c:v>59501.355947714597</c:v>
                </c:pt>
                <c:pt idx="5">
                  <c:v>76824.884422616597</c:v>
                </c:pt>
                <c:pt idx="6">
                  <c:v>82359.806995491555</c:v>
                </c:pt>
                <c:pt idx="7">
                  <c:v>84089.362942396881</c:v>
                </c:pt>
                <c:pt idx="8">
                  <c:v>85855.239564187214</c:v>
                </c:pt>
                <c:pt idx="9">
                  <c:v>98419.799595035147</c:v>
                </c:pt>
                <c:pt idx="10">
                  <c:v>100486.61538653089</c:v>
                </c:pt>
                <c:pt idx="11">
                  <c:v>102596.83430964804</c:v>
                </c:pt>
                <c:pt idx="12">
                  <c:v>104751.36783015064</c:v>
                </c:pt>
                <c:pt idx="13">
                  <c:v>106951.14655458381</c:v>
                </c:pt>
                <c:pt idx="14">
                  <c:v>109197.12063223007</c:v>
                </c:pt>
                <c:pt idx="15">
                  <c:v>111490.2601655069</c:v>
                </c:pt>
                <c:pt idx="16">
                  <c:v>113831.55562898255</c:v>
                </c:pt>
                <c:pt idx="17">
                  <c:v>119222.01829719119</c:v>
                </c:pt>
                <c:pt idx="18">
                  <c:v>121725.6806814322</c:v>
                </c:pt>
                <c:pt idx="19">
                  <c:v>124281.91997574228</c:v>
                </c:pt>
                <c:pt idx="20">
                  <c:v>126891.84029523286</c:v>
                </c:pt>
                <c:pt idx="21">
                  <c:v>129556.56894143275</c:v>
                </c:pt>
                <c:pt idx="22">
                  <c:v>132277.25688920284</c:v>
                </c:pt>
                <c:pt idx="23">
                  <c:v>135055.07928387608</c:v>
                </c:pt>
                <c:pt idx="24">
                  <c:v>137891.23594883748</c:v>
                </c:pt>
                <c:pt idx="25">
                  <c:v>140786.95190376305</c:v>
                </c:pt>
              </c:numCache>
            </c:numRef>
          </c:val>
          <c:smooth val="0"/>
          <c:extLst>
            <c:ext xmlns:c16="http://schemas.microsoft.com/office/drawing/2014/chart" uri="{C3380CC4-5D6E-409C-BE32-E72D297353CC}">
              <c16:uniqueId val="{00000006-0481-45E9-AFC0-EE0B8E304673}"/>
            </c:ext>
          </c:extLst>
        </c:ser>
        <c:ser>
          <c:idx val="7"/>
          <c:order val="8"/>
          <c:tx>
            <c:strRef>
              <c:f>'4. Lüderitz Population Calc'!$AS$29</c:f>
              <c:strCache>
                <c:ptCount val="1"/>
                <c:pt idx="0">
                  <c:v>Scenario 5b</c:v>
                </c:pt>
              </c:strCache>
            </c:strRef>
          </c:tx>
          <c:spPr>
            <a:ln w="28575" cap="rnd">
              <a:solidFill>
                <a:schemeClr val="accent2">
                  <a:lumMod val="60000"/>
                </a:schemeClr>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Calc'!$AS$31:$AS$56</c:f>
              <c:numCache>
                <c:formatCode>#,##0</c:formatCode>
                <c:ptCount val="26"/>
                <c:pt idx="0">
                  <c:v>17000</c:v>
                </c:pt>
                <c:pt idx="1">
                  <c:v>21278.6</c:v>
                </c:pt>
                <c:pt idx="2">
                  <c:v>56632.250599999999</c:v>
                </c:pt>
                <c:pt idx="3">
                  <c:v>58277.5278626</c:v>
                </c:pt>
                <c:pt idx="4">
                  <c:v>59501.355947714597</c:v>
                </c:pt>
                <c:pt idx="5">
                  <c:v>76824.884422616597</c:v>
                </c:pt>
                <c:pt idx="6">
                  <c:v>82359.806995491555</c:v>
                </c:pt>
                <c:pt idx="7">
                  <c:v>84089.362942396881</c:v>
                </c:pt>
                <c:pt idx="8">
                  <c:v>85855.239564187214</c:v>
                </c:pt>
                <c:pt idx="9">
                  <c:v>98419.799595035147</c:v>
                </c:pt>
                <c:pt idx="10">
                  <c:v>100486.61538653089</c:v>
                </c:pt>
                <c:pt idx="11">
                  <c:v>102596.83430964804</c:v>
                </c:pt>
                <c:pt idx="12">
                  <c:v>104751.36783015064</c:v>
                </c:pt>
                <c:pt idx="13">
                  <c:v>106951.14655458381</c:v>
                </c:pt>
                <c:pt idx="14">
                  <c:v>109197.12063223007</c:v>
                </c:pt>
                <c:pt idx="15">
                  <c:v>111490.2601655069</c:v>
                </c:pt>
                <c:pt idx="16">
                  <c:v>113831.55562898255</c:v>
                </c:pt>
                <c:pt idx="17">
                  <c:v>123062.01829719119</c:v>
                </c:pt>
                <c:pt idx="18">
                  <c:v>125646.3206814322</c:v>
                </c:pt>
                <c:pt idx="19">
                  <c:v>128284.89341574228</c:v>
                </c:pt>
                <c:pt idx="20">
                  <c:v>130978.87617747286</c:v>
                </c:pt>
                <c:pt idx="21">
                  <c:v>133729.4325771998</c:v>
                </c:pt>
                <c:pt idx="22">
                  <c:v>136537.75066132098</c:v>
                </c:pt>
                <c:pt idx="23">
                  <c:v>139405.04342520871</c:v>
                </c:pt>
                <c:pt idx="24">
                  <c:v>142332.5493371381</c:v>
                </c:pt>
                <c:pt idx="25">
                  <c:v>145321.53287321801</c:v>
                </c:pt>
              </c:numCache>
            </c:numRef>
          </c:val>
          <c:smooth val="0"/>
          <c:extLst>
            <c:ext xmlns:c16="http://schemas.microsoft.com/office/drawing/2014/chart" uri="{C3380CC4-5D6E-409C-BE32-E72D297353CC}">
              <c16:uniqueId val="{00000007-0481-45E9-AFC0-EE0B8E304673}"/>
            </c:ext>
          </c:extLst>
        </c:ser>
        <c:ser>
          <c:idx val="8"/>
          <c:order val="9"/>
          <c:tx>
            <c:v>Statistical Growth</c:v>
          </c:tx>
          <c:spPr>
            <a:ln w="28575" cap="rnd">
              <a:solidFill>
                <a:schemeClr val="accent3">
                  <a:lumMod val="60000"/>
                </a:schemeClr>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Calc'!$C$31:$C$56</c:f>
              <c:numCache>
                <c:formatCode>#,##0</c:formatCode>
                <c:ptCount val="26"/>
                <c:pt idx="0">
                  <c:v>17000</c:v>
                </c:pt>
                <c:pt idx="1">
                  <c:v>17357</c:v>
                </c:pt>
                <c:pt idx="2">
                  <c:v>17721.496999999999</c:v>
                </c:pt>
                <c:pt idx="3">
                  <c:v>18093.648437</c:v>
                </c:pt>
                <c:pt idx="4">
                  <c:v>18473.615054177</c:v>
                </c:pt>
                <c:pt idx="5">
                  <c:v>18861.560970314717</c:v>
                </c:pt>
                <c:pt idx="6">
                  <c:v>19257.653750691326</c:v>
                </c:pt>
                <c:pt idx="7">
                  <c:v>19662.064479455843</c:v>
                </c:pt>
                <c:pt idx="8">
                  <c:v>20074.967833524417</c:v>
                </c:pt>
                <c:pt idx="9">
                  <c:v>20496.542158028431</c:v>
                </c:pt>
                <c:pt idx="10">
                  <c:v>20926.96954334703</c:v>
                </c:pt>
                <c:pt idx="11">
                  <c:v>21366.435903757316</c:v>
                </c:pt>
                <c:pt idx="12">
                  <c:v>21815.13105773622</c:v>
                </c:pt>
                <c:pt idx="13">
                  <c:v>22273.24880994868</c:v>
                </c:pt>
                <c:pt idx="14">
                  <c:v>22740.987034957601</c:v>
                </c:pt>
                <c:pt idx="15">
                  <c:v>23218.547762691713</c:v>
                </c:pt>
                <c:pt idx="16">
                  <c:v>23706.137265708239</c:v>
                </c:pt>
                <c:pt idx="17">
                  <c:v>24203.966148288113</c:v>
                </c:pt>
                <c:pt idx="18">
                  <c:v>24712.249437402163</c:v>
                </c:pt>
                <c:pt idx="19">
                  <c:v>25231.206675587608</c:v>
                </c:pt>
                <c:pt idx="20">
                  <c:v>25761.062015774947</c:v>
                </c:pt>
                <c:pt idx="21">
                  <c:v>26302.044318106222</c:v>
                </c:pt>
                <c:pt idx="22">
                  <c:v>26854.387248786454</c:v>
                </c:pt>
                <c:pt idx="23">
                  <c:v>27418.329381010968</c:v>
                </c:pt>
                <c:pt idx="24">
                  <c:v>27994.114298012199</c:v>
                </c:pt>
                <c:pt idx="25">
                  <c:v>28581.990698270456</c:v>
                </c:pt>
              </c:numCache>
            </c:numRef>
          </c:val>
          <c:smooth val="0"/>
          <c:extLst>
            <c:ext xmlns:c16="http://schemas.microsoft.com/office/drawing/2014/chart" uri="{C3380CC4-5D6E-409C-BE32-E72D297353CC}">
              <c16:uniqueId val="{00000008-0481-45E9-AFC0-EE0B8E304673}"/>
            </c:ext>
          </c:extLst>
        </c:ser>
        <c:dLbls>
          <c:showLegendKey val="0"/>
          <c:showVal val="0"/>
          <c:showCatName val="0"/>
          <c:showSerName val="0"/>
          <c:showPercent val="0"/>
          <c:showBubbleSize val="0"/>
        </c:dLbls>
        <c:smooth val="0"/>
        <c:axId val="810208655"/>
        <c:axId val="810212495"/>
      </c:lineChart>
      <c:catAx>
        <c:axId val="810208655"/>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810212495"/>
        <c:crosses val="autoZero"/>
        <c:auto val="1"/>
        <c:lblAlgn val="ctr"/>
        <c:lblOffset val="100"/>
        <c:noMultiLvlLbl val="0"/>
      </c:catAx>
      <c:valAx>
        <c:axId val="810212495"/>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a:t>Population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81020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chemeClr val="tx1"/>
          </a:solidFil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de-DE" b="1"/>
              <a:t>Figure 2: Unmet</a:t>
            </a:r>
            <a:r>
              <a:rPr lang="de-DE" b="1" baseline="0"/>
              <a:t> Water Demand (Domestic + Non-Hydrogen Industrial) of Each Scenario</a:t>
            </a:r>
            <a:r>
              <a:rPr lang="de-DE" b="1"/>
              <a:t> </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0"/>
          <c:order val="0"/>
          <c:tx>
            <c:v>Scenarios 1 + 3a</c:v>
          </c:tx>
          <c:spPr>
            <a:solidFill>
              <a:schemeClr val="accent1"/>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Scenarios'!$N$34:$N$59</c:f>
              <c:numCache>
                <c:formatCode>#,##0</c:formatCode>
                <c:ptCount val="26"/>
                <c:pt idx="0">
                  <c:v>1216618</c:v>
                </c:pt>
                <c:pt idx="1">
                  <c:v>1704571.7128571428</c:v>
                </c:pt>
                <c:pt idx="2">
                  <c:v>1759312.4338271427</c:v>
                </c:pt>
                <c:pt idx="3">
                  <c:v>1803302.2499375129</c:v>
                </c:pt>
                <c:pt idx="4">
                  <c:v>1826578.6521862005</c:v>
                </c:pt>
                <c:pt idx="5">
                  <c:v>1883858.1588821108</c:v>
                </c:pt>
                <c:pt idx="6">
                  <c:v>2363373.0930757779</c:v>
                </c:pt>
                <c:pt idx="7">
                  <c:v>2392170.5780303692</c:v>
                </c:pt>
                <c:pt idx="8">
                  <c:v>2421572.8101690067</c:v>
                </c:pt>
                <c:pt idx="9">
                  <c:v>2906729.5520396992</c:v>
                </c:pt>
                <c:pt idx="10">
                  <c:v>2941287.3226325326</c:v>
                </c:pt>
                <c:pt idx="11">
                  <c:v>2976570.8064078158</c:v>
                </c:pt>
                <c:pt idx="12">
                  <c:v>3012595.24334238</c:v>
                </c:pt>
                <c:pt idx="13">
                  <c:v>3049376.1934525706</c:v>
                </c:pt>
                <c:pt idx="14">
                  <c:v>3086929.5435150745</c:v>
                </c:pt>
                <c:pt idx="15">
                  <c:v>3125271.5139288912</c:v>
                </c:pt>
                <c:pt idx="16">
                  <c:v>3164418.6657213978</c:v>
                </c:pt>
                <c:pt idx="17">
                  <c:v>3204387.9077015473</c:v>
                </c:pt>
                <c:pt idx="18">
                  <c:v>3245196.5037632799</c:v>
                </c:pt>
                <c:pt idx="19">
                  <c:v>3286862.0803423086</c:v>
                </c:pt>
                <c:pt idx="20">
                  <c:v>3329402.6340294969</c:v>
                </c:pt>
                <c:pt idx="21">
                  <c:v>3372836.5393441161</c:v>
                </c:pt>
                <c:pt idx="22">
                  <c:v>3417182.5566703426</c:v>
                </c:pt>
                <c:pt idx="23">
                  <c:v>3462459.8403604198</c:v>
                </c:pt>
                <c:pt idx="24">
                  <c:v>3508687.9470079886</c:v>
                </c:pt>
                <c:pt idx="25">
                  <c:v>3555886.8438951564</c:v>
                </c:pt>
              </c:numCache>
            </c:numRef>
          </c:val>
          <c:extLst>
            <c:ext xmlns:c16="http://schemas.microsoft.com/office/drawing/2014/chart" uri="{C3380CC4-5D6E-409C-BE32-E72D297353CC}">
              <c16:uniqueId val="{00000000-3ECC-4A09-825E-A403D684D295}"/>
            </c:ext>
          </c:extLst>
        </c:ser>
        <c:ser>
          <c:idx val="1"/>
          <c:order val="1"/>
          <c:tx>
            <c:v>Scenarios 2 + 4a</c:v>
          </c:tx>
          <c:spPr>
            <a:solidFill>
              <a:schemeClr val="accent2"/>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Scenarios'!$O$34:$O$59</c:f>
              <c:numCache>
                <c:formatCode>#,##0</c:formatCode>
                <c:ptCount val="26"/>
                <c:pt idx="0">
                  <c:v>1216618</c:v>
                </c:pt>
                <c:pt idx="1">
                  <c:v>1704571.7128571428</c:v>
                </c:pt>
                <c:pt idx="2">
                  <c:v>1759312.4338271427</c:v>
                </c:pt>
                <c:pt idx="3">
                  <c:v>1803302.2499375129</c:v>
                </c:pt>
                <c:pt idx="4">
                  <c:v>1826578.6521862005</c:v>
                </c:pt>
                <c:pt idx="5">
                  <c:v>2641160.1588821108</c:v>
                </c:pt>
                <c:pt idx="6">
                  <c:v>3136578.4350757776</c:v>
                </c:pt>
                <c:pt idx="7">
                  <c:v>3181613.2322123693</c:v>
                </c:pt>
                <c:pt idx="8">
                  <c:v>3227593.7600888284</c:v>
                </c:pt>
                <c:pt idx="9">
                  <c:v>3729676.9419078371</c:v>
                </c:pt>
                <c:pt idx="10">
                  <c:v>3781516.6076879017</c:v>
                </c:pt>
                <c:pt idx="11">
                  <c:v>3834444.9064493477</c:v>
                </c:pt>
                <c:pt idx="12">
                  <c:v>3888484.6994847837</c:v>
                </c:pt>
                <c:pt idx="13">
                  <c:v>3943659.3281739643</c:v>
                </c:pt>
                <c:pt idx="14">
                  <c:v>3999992.6240656176</c:v>
                </c:pt>
                <c:pt idx="15">
                  <c:v>4057508.9191709957</c:v>
                </c:pt>
                <c:pt idx="16">
                  <c:v>4116233.0564735867</c:v>
                </c:pt>
                <c:pt idx="17">
                  <c:v>4176190.4006595318</c:v>
                </c:pt>
                <c:pt idx="18">
                  <c:v>4237406.8490733821</c:v>
                </c:pt>
                <c:pt idx="19">
                  <c:v>4299908.8429039232</c:v>
                </c:pt>
                <c:pt idx="20">
                  <c:v>4363723.3786049057</c:v>
                </c:pt>
                <c:pt idx="21">
                  <c:v>4428878.0195556087</c:v>
                </c:pt>
                <c:pt idx="22">
                  <c:v>4495400.9079662766</c:v>
                </c:pt>
                <c:pt idx="23">
                  <c:v>4563320.7770335674</c:v>
                </c:pt>
                <c:pt idx="24">
                  <c:v>4632666.9633512739</c:v>
                </c:pt>
                <c:pt idx="25">
                  <c:v>4703469.4195816498</c:v>
                </c:pt>
              </c:numCache>
            </c:numRef>
          </c:val>
          <c:extLst>
            <c:ext xmlns:c16="http://schemas.microsoft.com/office/drawing/2014/chart" uri="{C3380CC4-5D6E-409C-BE32-E72D297353CC}">
              <c16:uniqueId val="{00000001-3ECC-4A09-825E-A403D684D295}"/>
            </c:ext>
          </c:extLst>
        </c:ser>
        <c:ser>
          <c:idx val="3"/>
          <c:order val="2"/>
          <c:tx>
            <c:strRef>
              <c:f>'7. Lüderitz Scenarios'!$Q$33</c:f>
              <c:strCache>
                <c:ptCount val="1"/>
                <c:pt idx="0">
                  <c:v>Scenario 3b</c:v>
                </c:pt>
              </c:strCache>
            </c:strRef>
          </c:tx>
          <c:spPr>
            <a:solidFill>
              <a:schemeClr val="accent4"/>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Scenarios'!$Q$34:$Q$59</c:f>
              <c:numCache>
                <c:formatCode>#,##0</c:formatCode>
                <c:ptCount val="26"/>
                <c:pt idx="0">
                  <c:v>1216618</c:v>
                </c:pt>
                <c:pt idx="1">
                  <c:v>1704571.7128571428</c:v>
                </c:pt>
                <c:pt idx="2">
                  <c:v>2955052.4338271427</c:v>
                </c:pt>
                <c:pt idx="3">
                  <c:v>3024152.7899375129</c:v>
                </c:pt>
                <c:pt idx="4">
                  <c:v>3073067.0535262008</c:v>
                </c:pt>
                <c:pt idx="5">
                  <c:v>3156522.8166502509</c:v>
                </c:pt>
                <c:pt idx="6">
                  <c:v>3662763.7086570486</c:v>
                </c:pt>
                <c:pt idx="7">
                  <c:v>3718848.3965388467</c:v>
                </c:pt>
                <c:pt idx="8">
                  <c:v>3776110.8628661628</c:v>
                </c:pt>
                <c:pt idx="9">
                  <c:v>3333120.903843496</c:v>
                </c:pt>
                <c:pt idx="10">
                  <c:v>3376632.8928242093</c:v>
                </c:pt>
                <c:pt idx="11">
                  <c:v>3421058.6335735177</c:v>
                </c:pt>
                <c:pt idx="12">
                  <c:v>3466417.3148785615</c:v>
                </c:pt>
                <c:pt idx="13">
                  <c:v>3512728.5284910114</c:v>
                </c:pt>
                <c:pt idx="14">
                  <c:v>3560012.2775893225</c:v>
                </c:pt>
                <c:pt idx="15">
                  <c:v>3608288.9854186983</c:v>
                </c:pt>
                <c:pt idx="16">
                  <c:v>3657579.5041124909</c:v>
                </c:pt>
                <c:pt idx="17">
                  <c:v>3707905.123698853</c:v>
                </c:pt>
                <c:pt idx="18">
                  <c:v>3759287.5812965292</c:v>
                </c:pt>
                <c:pt idx="19">
                  <c:v>3811749.0705037559</c:v>
                </c:pt>
                <c:pt idx="20">
                  <c:v>3865312.2509843353</c:v>
                </c:pt>
                <c:pt idx="21">
                  <c:v>3920000.2582550063</c:v>
                </c:pt>
                <c:pt idx="22">
                  <c:v>3975836.7136783614</c:v>
                </c:pt>
                <c:pt idx="23">
                  <c:v>4032845.7346656066</c:v>
                </c:pt>
                <c:pt idx="24">
                  <c:v>4091051.9450935847</c:v>
                </c:pt>
                <c:pt idx="25">
                  <c:v>4150480.4859405495</c:v>
                </c:pt>
              </c:numCache>
            </c:numRef>
          </c:val>
          <c:extLst>
            <c:ext xmlns:c16="http://schemas.microsoft.com/office/drawing/2014/chart" uri="{C3380CC4-5D6E-409C-BE32-E72D297353CC}">
              <c16:uniqueId val="{00000003-3ECC-4A09-825E-A403D684D295}"/>
            </c:ext>
          </c:extLst>
        </c:ser>
        <c:ser>
          <c:idx val="5"/>
          <c:order val="3"/>
          <c:tx>
            <c:v>Scenarios 4b + 5a</c:v>
          </c:tx>
          <c:spPr>
            <a:solidFill>
              <a:schemeClr val="accent6"/>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Scenarios'!$S$34:$S$59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6091733.6188485157</c:v>
                </c:pt>
                <c:pt idx="18">
                  <c:v>6193176.4748443346</c:v>
                </c:pt>
                <c:pt idx="19">
                  <c:v>6296749.6308160657</c:v>
                </c:pt>
                <c:pt idx="20">
                  <c:v>6402497.8230632031</c:v>
                </c:pt>
                <c:pt idx="21">
                  <c:v>6510466.7273475304</c:v>
                </c:pt>
                <c:pt idx="22">
                  <c:v>6620702.9786218284</c:v>
                </c:pt>
                <c:pt idx="23">
                  <c:v>6733254.1911728866</c:v>
                </c:pt>
                <c:pt idx="24">
                  <c:v>6848168.9791875174</c:v>
                </c:pt>
                <c:pt idx="25">
                  <c:v>6965496.977750456</c:v>
                </c:pt>
              </c:numCache>
            </c:numRef>
          </c:val>
          <c:extLst>
            <c:ext xmlns:c16="http://schemas.microsoft.com/office/drawing/2014/chart" uri="{C3380CC4-5D6E-409C-BE32-E72D297353CC}">
              <c16:uniqueId val="{00000005-3ECC-4A09-825E-A403D684D295}"/>
            </c:ext>
          </c:extLst>
        </c:ser>
        <c:ser>
          <c:idx val="7"/>
          <c:order val="4"/>
          <c:tx>
            <c:strRef>
              <c:f>'7. Lüderitz Scenarios'!$U$33</c:f>
              <c:strCache>
                <c:ptCount val="1"/>
                <c:pt idx="0">
                  <c:v>Scenario 5b</c:v>
                </c:pt>
              </c:strCache>
            </c:strRef>
          </c:tx>
          <c:spPr>
            <a:solidFill>
              <a:schemeClr val="accent2">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Scenarios'!$U$34:$U$59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6330881.6188485194</c:v>
                </c:pt>
                <c:pt idx="18">
                  <c:v>6437346.5828443393</c:v>
                </c:pt>
                <c:pt idx="19">
                  <c:v>6546047.3110840702</c:v>
                </c:pt>
                <c:pt idx="20">
                  <c:v>6657030.7546168352</c:v>
                </c:pt>
                <c:pt idx="21">
                  <c:v>6770344.850463788</c:v>
                </c:pt>
                <c:pt idx="22">
                  <c:v>6886038.5423235279</c:v>
                </c:pt>
                <c:pt idx="23">
                  <c:v>7004161.8017123211</c:v>
                </c:pt>
                <c:pt idx="24">
                  <c:v>7124765.6495482801</c:v>
                </c:pt>
                <c:pt idx="25">
                  <c:v>7247902.1781887943</c:v>
                </c:pt>
              </c:numCache>
            </c:numRef>
          </c:val>
          <c:extLst>
            <c:ext xmlns:c16="http://schemas.microsoft.com/office/drawing/2014/chart" uri="{C3380CC4-5D6E-409C-BE32-E72D297353CC}">
              <c16:uniqueId val="{00000007-3ECC-4A09-825E-A403D684D295}"/>
            </c:ext>
          </c:extLst>
        </c:ser>
        <c:dLbls>
          <c:showLegendKey val="0"/>
          <c:showVal val="0"/>
          <c:showCatName val="0"/>
          <c:showSerName val="0"/>
          <c:showPercent val="0"/>
          <c:showBubbleSize val="0"/>
        </c:dLbls>
        <c:gapWidth val="219"/>
        <c:axId val="965504624"/>
        <c:axId val="965514704"/>
      </c:barChart>
      <c:lineChart>
        <c:grouping val="standard"/>
        <c:varyColors val="0"/>
        <c:ser>
          <c:idx val="8"/>
          <c:order val="5"/>
          <c:tx>
            <c:strRef>
              <c:f>'7. Lüderitz Scenarios'!$C$33</c:f>
              <c:strCache>
                <c:ptCount val="1"/>
                <c:pt idx="0">
                  <c:v>2024 Demand Growth Rate</c:v>
                </c:pt>
              </c:strCache>
            </c:strRef>
          </c:tx>
          <c:spPr>
            <a:ln w="28575" cap="rnd">
              <a:solidFill>
                <a:schemeClr val="accent3">
                  <a:lumMod val="60000"/>
                </a:schemeClr>
              </a:solidFill>
              <a:round/>
            </a:ln>
            <a:effectLst/>
          </c:spPr>
          <c:marker>
            <c:symbol val="none"/>
          </c:marker>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Scenarios'!$C$34:$C$59</c:f>
              <c:numCache>
                <c:formatCode>#,##0</c:formatCode>
                <c:ptCount val="26"/>
                <c:pt idx="0">
                  <c:v>1179534</c:v>
                </c:pt>
                <c:pt idx="1">
                  <c:v>1215409.7039999999</c:v>
                </c:pt>
                <c:pt idx="2">
                  <c:v>1253921.5162559999</c:v>
                </c:pt>
                <c:pt idx="3">
                  <c:v>1295279.3896362239</c:v>
                </c:pt>
                <c:pt idx="4">
                  <c:v>1339710.0694951848</c:v>
                </c:pt>
                <c:pt idx="5">
                  <c:v>1387458.4370576148</c:v>
                </c:pt>
                <c:pt idx="6">
                  <c:v>1438788.9602730507</c:v>
                </c:pt>
                <c:pt idx="7">
                  <c:v>1493987.2607387244</c:v>
                </c:pt>
                <c:pt idx="8">
                  <c:v>1553361.8059762276</c:v>
                </c:pt>
                <c:pt idx="9">
                  <c:v>1617245.7370902444</c:v>
                </c:pt>
                <c:pt idx="10">
                  <c:v>1685998.8426399264</c:v>
                </c:pt>
                <c:pt idx="11">
                  <c:v>1760009.6904199128</c:v>
                </c:pt>
                <c:pt idx="12">
                  <c:v>1839697.9297837731</c:v>
                </c:pt>
                <c:pt idx="13">
                  <c:v>1925516.7781532635</c:v>
                </c:pt>
                <c:pt idx="14">
                  <c:v>2017955.7064482602</c:v>
                </c:pt>
                <c:pt idx="15">
                  <c:v>2117543.3393510277</c:v>
                </c:pt>
                <c:pt idx="16">
                  <c:v>2224850.5875915643</c:v>
                </c:pt>
                <c:pt idx="17">
                  <c:v>2340494.0308157131</c:v>
                </c:pt>
                <c:pt idx="18">
                  <c:v>2465139.5710826614</c:v>
                </c:pt>
                <c:pt idx="19">
                  <c:v>2599506.3786421726</c:v>
                </c:pt>
                <c:pt idx="20">
                  <c:v>2744371.1533739362</c:v>
                </c:pt>
                <c:pt idx="21">
                  <c:v>2900572.727142002</c:v>
                </c:pt>
                <c:pt idx="22">
                  <c:v>3069017.0343375062</c:v>
                </c:pt>
                <c:pt idx="23">
                  <c:v>3250682.4800647469</c:v>
                </c:pt>
                <c:pt idx="24">
                  <c:v>3446625.7377820881</c:v>
                </c:pt>
                <c:pt idx="25">
                  <c:v>3657988.0107540651</c:v>
                </c:pt>
              </c:numCache>
            </c:numRef>
          </c:val>
          <c:smooth val="0"/>
          <c:extLst>
            <c:ext xmlns:c16="http://schemas.microsoft.com/office/drawing/2014/chart" uri="{C3380CC4-5D6E-409C-BE32-E72D297353CC}">
              <c16:uniqueId val="{00000008-3ECC-4A09-825E-A403D684D295}"/>
            </c:ext>
          </c:extLst>
        </c:ser>
        <c:ser>
          <c:idx val="9"/>
          <c:order val="6"/>
          <c:tx>
            <c:v>Current total demand</c:v>
          </c:tx>
          <c:spPr>
            <a:ln w="28575" cap="rnd">
              <a:solidFill>
                <a:schemeClr val="accent4">
                  <a:lumMod val="60000"/>
                </a:schemeClr>
              </a:solidFill>
              <a:round/>
            </a:ln>
            <a:effectLst/>
          </c:spPr>
          <c:marker>
            <c:symbol val="none"/>
          </c:marker>
          <c:val>
            <c:numRef>
              <c:f>'7. Lüderitz Scenarios'!$W$34:$W$59</c:f>
              <c:numCache>
                <c:formatCode>#,##0</c:formatCode>
                <c:ptCount val="26"/>
                <c:pt idx="0">
                  <c:v>1146100</c:v>
                </c:pt>
                <c:pt idx="1">
                  <c:v>1146100</c:v>
                </c:pt>
                <c:pt idx="2">
                  <c:v>1146100</c:v>
                </c:pt>
                <c:pt idx="3">
                  <c:v>1146100</c:v>
                </c:pt>
                <c:pt idx="4">
                  <c:v>1146100</c:v>
                </c:pt>
                <c:pt idx="5">
                  <c:v>1146100</c:v>
                </c:pt>
                <c:pt idx="6">
                  <c:v>1146100</c:v>
                </c:pt>
                <c:pt idx="7">
                  <c:v>1146100</c:v>
                </c:pt>
                <c:pt idx="8">
                  <c:v>1146100</c:v>
                </c:pt>
                <c:pt idx="9">
                  <c:v>1146100</c:v>
                </c:pt>
                <c:pt idx="10">
                  <c:v>1146100</c:v>
                </c:pt>
                <c:pt idx="11">
                  <c:v>1146100</c:v>
                </c:pt>
                <c:pt idx="12">
                  <c:v>1146100</c:v>
                </c:pt>
                <c:pt idx="13">
                  <c:v>1146100</c:v>
                </c:pt>
                <c:pt idx="14">
                  <c:v>1146100</c:v>
                </c:pt>
                <c:pt idx="15">
                  <c:v>1146100</c:v>
                </c:pt>
                <c:pt idx="16">
                  <c:v>1146100</c:v>
                </c:pt>
                <c:pt idx="17">
                  <c:v>1146100</c:v>
                </c:pt>
                <c:pt idx="18">
                  <c:v>1146100</c:v>
                </c:pt>
                <c:pt idx="19">
                  <c:v>1146100</c:v>
                </c:pt>
                <c:pt idx="20">
                  <c:v>1146100</c:v>
                </c:pt>
                <c:pt idx="21">
                  <c:v>1146100</c:v>
                </c:pt>
                <c:pt idx="22">
                  <c:v>1146100</c:v>
                </c:pt>
                <c:pt idx="23">
                  <c:v>1146100</c:v>
                </c:pt>
                <c:pt idx="24">
                  <c:v>1146100</c:v>
                </c:pt>
                <c:pt idx="25">
                  <c:v>1146100</c:v>
                </c:pt>
              </c:numCache>
            </c:numRef>
          </c:val>
          <c:smooth val="0"/>
          <c:extLst>
            <c:ext xmlns:c16="http://schemas.microsoft.com/office/drawing/2014/chart" uri="{C3380CC4-5D6E-409C-BE32-E72D297353CC}">
              <c16:uniqueId val="{00000009-3ECC-4A09-825E-A403D684D295}"/>
            </c:ext>
          </c:extLst>
        </c:ser>
        <c:dLbls>
          <c:showLegendKey val="0"/>
          <c:showVal val="0"/>
          <c:showCatName val="0"/>
          <c:showSerName val="0"/>
          <c:showPercent val="0"/>
          <c:showBubbleSize val="0"/>
        </c:dLbls>
        <c:marker val="1"/>
        <c:smooth val="0"/>
        <c:axId val="965504624"/>
        <c:axId val="965514704"/>
      </c:lineChart>
      <c:catAx>
        <c:axId val="965504624"/>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14704"/>
        <c:crosses val="autoZero"/>
        <c:auto val="1"/>
        <c:lblAlgn val="ctr"/>
        <c:lblOffset val="100"/>
        <c:noMultiLvlLbl val="0"/>
      </c:catAx>
      <c:valAx>
        <c:axId val="965514704"/>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Water Demand [m</a:t>
                </a:r>
                <a:r>
                  <a:rPr lang="en-US" baseline="30000"/>
                  <a:t>3</a:t>
                </a:r>
                <a:r>
                  <a:rPr lang="en-US"/>
                  <a:t>/year]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0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de-DE" b="1"/>
              <a:t>Figure 4: Unmet</a:t>
            </a:r>
            <a:r>
              <a:rPr lang="de-DE" b="1" baseline="0"/>
              <a:t> Water Demand (Domestic + Non-Hydrogen Industrial) with Various Desalination Plant Capacities</a:t>
            </a:r>
            <a:endParaRPr lang="de-DE" b="1"/>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v>Scenarios 1 + 3a</c:v>
          </c:tx>
          <c:spPr>
            <a:ln w="28575" cap="rnd">
              <a:solidFill>
                <a:schemeClr val="accent1"/>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Scenarios'!$N$34:$N$59</c:f>
              <c:numCache>
                <c:formatCode>#,##0</c:formatCode>
                <c:ptCount val="26"/>
                <c:pt idx="0">
                  <c:v>1216618</c:v>
                </c:pt>
                <c:pt idx="1">
                  <c:v>1704571.7128571428</c:v>
                </c:pt>
                <c:pt idx="2">
                  <c:v>1759312.4338271427</c:v>
                </c:pt>
                <c:pt idx="3">
                  <c:v>1803302.2499375129</c:v>
                </c:pt>
                <c:pt idx="4">
                  <c:v>1826578.6521862005</c:v>
                </c:pt>
                <c:pt idx="5">
                  <c:v>1883858.1588821108</c:v>
                </c:pt>
                <c:pt idx="6">
                  <c:v>2363373.0930757779</c:v>
                </c:pt>
                <c:pt idx="7">
                  <c:v>2392170.5780303692</c:v>
                </c:pt>
                <c:pt idx="8">
                  <c:v>2421572.8101690067</c:v>
                </c:pt>
                <c:pt idx="9">
                  <c:v>2906729.5520396992</c:v>
                </c:pt>
                <c:pt idx="10">
                  <c:v>2941287.3226325326</c:v>
                </c:pt>
                <c:pt idx="11">
                  <c:v>2976570.8064078158</c:v>
                </c:pt>
                <c:pt idx="12">
                  <c:v>3012595.24334238</c:v>
                </c:pt>
                <c:pt idx="13">
                  <c:v>3049376.1934525706</c:v>
                </c:pt>
                <c:pt idx="14">
                  <c:v>3086929.5435150745</c:v>
                </c:pt>
                <c:pt idx="15">
                  <c:v>3125271.5139288912</c:v>
                </c:pt>
                <c:pt idx="16">
                  <c:v>3164418.6657213978</c:v>
                </c:pt>
                <c:pt idx="17">
                  <c:v>3204387.9077015473</c:v>
                </c:pt>
                <c:pt idx="18">
                  <c:v>3245196.5037632799</c:v>
                </c:pt>
                <c:pt idx="19">
                  <c:v>3286862.0803423086</c:v>
                </c:pt>
                <c:pt idx="20">
                  <c:v>3329402.6340294969</c:v>
                </c:pt>
                <c:pt idx="21">
                  <c:v>3372836.5393441161</c:v>
                </c:pt>
                <c:pt idx="22">
                  <c:v>3417182.5566703426</c:v>
                </c:pt>
                <c:pt idx="23">
                  <c:v>3462459.8403604198</c:v>
                </c:pt>
                <c:pt idx="24">
                  <c:v>3508687.9470079886</c:v>
                </c:pt>
                <c:pt idx="25">
                  <c:v>3555886.8438951564</c:v>
                </c:pt>
              </c:numCache>
            </c:numRef>
          </c:val>
          <c:smooth val="0"/>
          <c:extLst>
            <c:ext xmlns:c16="http://schemas.microsoft.com/office/drawing/2014/chart" uri="{C3380CC4-5D6E-409C-BE32-E72D297353CC}">
              <c16:uniqueId val="{00000000-0F5B-4830-9362-892A94339D02}"/>
            </c:ext>
          </c:extLst>
        </c:ser>
        <c:ser>
          <c:idx val="1"/>
          <c:order val="1"/>
          <c:tx>
            <c:v>Scenarios 2 + 4a</c:v>
          </c:tx>
          <c:spPr>
            <a:ln w="28575" cap="rnd">
              <a:solidFill>
                <a:schemeClr val="accent2"/>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Scenarios'!$O$34:$O$59</c:f>
              <c:numCache>
                <c:formatCode>#,##0</c:formatCode>
                <c:ptCount val="26"/>
                <c:pt idx="0">
                  <c:v>1216618</c:v>
                </c:pt>
                <c:pt idx="1">
                  <c:v>1704571.7128571428</c:v>
                </c:pt>
                <c:pt idx="2">
                  <c:v>1759312.4338271427</c:v>
                </c:pt>
                <c:pt idx="3">
                  <c:v>1803302.2499375129</c:v>
                </c:pt>
                <c:pt idx="4">
                  <c:v>1826578.6521862005</c:v>
                </c:pt>
                <c:pt idx="5">
                  <c:v>2641160.1588821108</c:v>
                </c:pt>
                <c:pt idx="6">
                  <c:v>3136578.4350757776</c:v>
                </c:pt>
                <c:pt idx="7">
                  <c:v>3181613.2322123693</c:v>
                </c:pt>
                <c:pt idx="8">
                  <c:v>3227593.7600888284</c:v>
                </c:pt>
                <c:pt idx="9">
                  <c:v>3729676.9419078371</c:v>
                </c:pt>
                <c:pt idx="10">
                  <c:v>3781516.6076879017</c:v>
                </c:pt>
                <c:pt idx="11">
                  <c:v>3834444.9064493477</c:v>
                </c:pt>
                <c:pt idx="12">
                  <c:v>3888484.6994847837</c:v>
                </c:pt>
                <c:pt idx="13">
                  <c:v>3943659.3281739643</c:v>
                </c:pt>
                <c:pt idx="14">
                  <c:v>3999992.6240656176</c:v>
                </c:pt>
                <c:pt idx="15">
                  <c:v>4057508.9191709957</c:v>
                </c:pt>
                <c:pt idx="16">
                  <c:v>4116233.0564735867</c:v>
                </c:pt>
                <c:pt idx="17">
                  <c:v>4176190.4006595318</c:v>
                </c:pt>
                <c:pt idx="18">
                  <c:v>4237406.8490733821</c:v>
                </c:pt>
                <c:pt idx="19">
                  <c:v>4299908.8429039232</c:v>
                </c:pt>
                <c:pt idx="20">
                  <c:v>4363723.3786049057</c:v>
                </c:pt>
                <c:pt idx="21">
                  <c:v>4428878.0195556087</c:v>
                </c:pt>
                <c:pt idx="22">
                  <c:v>4495400.9079662766</c:v>
                </c:pt>
                <c:pt idx="23">
                  <c:v>4563320.7770335674</c:v>
                </c:pt>
                <c:pt idx="24">
                  <c:v>4632666.9633512739</c:v>
                </c:pt>
                <c:pt idx="25">
                  <c:v>4703469.4195816498</c:v>
                </c:pt>
              </c:numCache>
            </c:numRef>
          </c:val>
          <c:smooth val="0"/>
          <c:extLst>
            <c:ext xmlns:c16="http://schemas.microsoft.com/office/drawing/2014/chart" uri="{C3380CC4-5D6E-409C-BE32-E72D297353CC}">
              <c16:uniqueId val="{00000001-0F5B-4830-9362-892A94339D02}"/>
            </c:ext>
          </c:extLst>
        </c:ser>
        <c:ser>
          <c:idx val="3"/>
          <c:order val="2"/>
          <c:tx>
            <c:strRef>
              <c:f>'7. Lüderitz Scenarios'!$Q$33</c:f>
              <c:strCache>
                <c:ptCount val="1"/>
                <c:pt idx="0">
                  <c:v>Scenario 3b</c:v>
                </c:pt>
              </c:strCache>
            </c:strRef>
          </c:tx>
          <c:spPr>
            <a:ln w="28575" cap="rnd">
              <a:solidFill>
                <a:schemeClr val="accent4"/>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Scenarios'!$Q$34:$Q$59</c:f>
              <c:numCache>
                <c:formatCode>#,##0</c:formatCode>
                <c:ptCount val="26"/>
                <c:pt idx="0">
                  <c:v>1216618</c:v>
                </c:pt>
                <c:pt idx="1">
                  <c:v>1704571.7128571428</c:v>
                </c:pt>
                <c:pt idx="2">
                  <c:v>2955052.4338271427</c:v>
                </c:pt>
                <c:pt idx="3">
                  <c:v>3024152.7899375129</c:v>
                </c:pt>
                <c:pt idx="4">
                  <c:v>3073067.0535262008</c:v>
                </c:pt>
                <c:pt idx="5">
                  <c:v>3156522.8166502509</c:v>
                </c:pt>
                <c:pt idx="6">
                  <c:v>3662763.7086570486</c:v>
                </c:pt>
                <c:pt idx="7">
                  <c:v>3718848.3965388467</c:v>
                </c:pt>
                <c:pt idx="8">
                  <c:v>3776110.8628661628</c:v>
                </c:pt>
                <c:pt idx="9">
                  <c:v>3333120.903843496</c:v>
                </c:pt>
                <c:pt idx="10">
                  <c:v>3376632.8928242093</c:v>
                </c:pt>
                <c:pt idx="11">
                  <c:v>3421058.6335735177</c:v>
                </c:pt>
                <c:pt idx="12">
                  <c:v>3466417.3148785615</c:v>
                </c:pt>
                <c:pt idx="13">
                  <c:v>3512728.5284910114</c:v>
                </c:pt>
                <c:pt idx="14">
                  <c:v>3560012.2775893225</c:v>
                </c:pt>
                <c:pt idx="15">
                  <c:v>3608288.9854186983</c:v>
                </c:pt>
                <c:pt idx="16">
                  <c:v>3657579.5041124909</c:v>
                </c:pt>
                <c:pt idx="17">
                  <c:v>3707905.123698853</c:v>
                </c:pt>
                <c:pt idx="18">
                  <c:v>3759287.5812965292</c:v>
                </c:pt>
                <c:pt idx="19">
                  <c:v>3811749.0705037559</c:v>
                </c:pt>
                <c:pt idx="20">
                  <c:v>3865312.2509843353</c:v>
                </c:pt>
                <c:pt idx="21">
                  <c:v>3920000.2582550063</c:v>
                </c:pt>
                <c:pt idx="22">
                  <c:v>3975836.7136783614</c:v>
                </c:pt>
                <c:pt idx="23">
                  <c:v>4032845.7346656066</c:v>
                </c:pt>
                <c:pt idx="24">
                  <c:v>4091051.9450935847</c:v>
                </c:pt>
                <c:pt idx="25">
                  <c:v>4150480.4859405495</c:v>
                </c:pt>
              </c:numCache>
            </c:numRef>
          </c:val>
          <c:smooth val="0"/>
          <c:extLst>
            <c:ext xmlns:c16="http://schemas.microsoft.com/office/drawing/2014/chart" uri="{C3380CC4-5D6E-409C-BE32-E72D297353CC}">
              <c16:uniqueId val="{00000002-0F5B-4830-9362-892A94339D02}"/>
            </c:ext>
          </c:extLst>
        </c:ser>
        <c:ser>
          <c:idx val="5"/>
          <c:order val="3"/>
          <c:tx>
            <c:v>Scenarios 4b + 5a</c:v>
          </c:tx>
          <c:spPr>
            <a:ln w="28575" cap="rnd">
              <a:solidFill>
                <a:schemeClr val="accent6"/>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Scenarios'!$S$34:$S$59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6091733.6188485157</c:v>
                </c:pt>
                <c:pt idx="18">
                  <c:v>6193176.4748443346</c:v>
                </c:pt>
                <c:pt idx="19">
                  <c:v>6296749.6308160657</c:v>
                </c:pt>
                <c:pt idx="20">
                  <c:v>6402497.8230632031</c:v>
                </c:pt>
                <c:pt idx="21">
                  <c:v>6510466.7273475304</c:v>
                </c:pt>
                <c:pt idx="22">
                  <c:v>6620702.9786218284</c:v>
                </c:pt>
                <c:pt idx="23">
                  <c:v>6733254.1911728866</c:v>
                </c:pt>
                <c:pt idx="24">
                  <c:v>6848168.9791875174</c:v>
                </c:pt>
                <c:pt idx="25">
                  <c:v>6965496.977750456</c:v>
                </c:pt>
              </c:numCache>
            </c:numRef>
          </c:val>
          <c:smooth val="0"/>
          <c:extLst>
            <c:ext xmlns:c16="http://schemas.microsoft.com/office/drawing/2014/chart" uri="{C3380CC4-5D6E-409C-BE32-E72D297353CC}">
              <c16:uniqueId val="{00000003-0F5B-4830-9362-892A94339D02}"/>
            </c:ext>
          </c:extLst>
        </c:ser>
        <c:ser>
          <c:idx val="7"/>
          <c:order val="4"/>
          <c:tx>
            <c:strRef>
              <c:f>'7. Lüderitz Scenarios'!$U$33</c:f>
              <c:strCache>
                <c:ptCount val="1"/>
                <c:pt idx="0">
                  <c:v>Scenario 5b</c:v>
                </c:pt>
              </c:strCache>
            </c:strRef>
          </c:tx>
          <c:spPr>
            <a:ln w="28575" cap="rnd">
              <a:solidFill>
                <a:schemeClr val="accent2">
                  <a:lumMod val="60000"/>
                </a:schemeClr>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Scenarios'!$U$34:$U$59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6330881.6188485194</c:v>
                </c:pt>
                <c:pt idx="18">
                  <c:v>6437346.5828443393</c:v>
                </c:pt>
                <c:pt idx="19">
                  <c:v>6546047.3110840702</c:v>
                </c:pt>
                <c:pt idx="20">
                  <c:v>6657030.7546168352</c:v>
                </c:pt>
                <c:pt idx="21">
                  <c:v>6770344.850463788</c:v>
                </c:pt>
                <c:pt idx="22">
                  <c:v>6886038.5423235279</c:v>
                </c:pt>
                <c:pt idx="23">
                  <c:v>7004161.8017123211</c:v>
                </c:pt>
                <c:pt idx="24">
                  <c:v>7124765.6495482801</c:v>
                </c:pt>
                <c:pt idx="25">
                  <c:v>7247902.1781887943</c:v>
                </c:pt>
              </c:numCache>
            </c:numRef>
          </c:val>
          <c:smooth val="0"/>
          <c:extLst>
            <c:ext xmlns:c16="http://schemas.microsoft.com/office/drawing/2014/chart" uri="{C3380CC4-5D6E-409C-BE32-E72D297353CC}">
              <c16:uniqueId val="{00000004-0F5B-4830-9362-892A94339D02}"/>
            </c:ext>
          </c:extLst>
        </c:ser>
        <c:ser>
          <c:idx val="2"/>
          <c:order val="5"/>
          <c:tx>
            <c:strRef>
              <c:f>'7. Lüderitz Scenarios'!$I$64</c:f>
              <c:strCache>
                <c:ptCount val="1"/>
                <c:pt idx="0">
                  <c:v>Initial Option 1: 2035 Scenario 2</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Scenarios'!$I$65:$I$88</c:f>
              <c:numCache>
                <c:formatCode>#,##0</c:formatCode>
                <c:ptCount val="24"/>
                <c:pt idx="0">
                  <c:v>3800000</c:v>
                </c:pt>
                <c:pt idx="1">
                  <c:v>3800000</c:v>
                </c:pt>
                <c:pt idx="2">
                  <c:v>3800000</c:v>
                </c:pt>
                <c:pt idx="3">
                  <c:v>3800000</c:v>
                </c:pt>
                <c:pt idx="4">
                  <c:v>3800000</c:v>
                </c:pt>
                <c:pt idx="5">
                  <c:v>3800000</c:v>
                </c:pt>
                <c:pt idx="6">
                  <c:v>3800000</c:v>
                </c:pt>
                <c:pt idx="7">
                  <c:v>3800000</c:v>
                </c:pt>
                <c:pt idx="8">
                  <c:v>3800000</c:v>
                </c:pt>
                <c:pt idx="9">
                  <c:v>3800000</c:v>
                </c:pt>
                <c:pt idx="10">
                  <c:v>3800000</c:v>
                </c:pt>
                <c:pt idx="11">
                  <c:v>3800000</c:v>
                </c:pt>
                <c:pt idx="12">
                  <c:v>3800000</c:v>
                </c:pt>
                <c:pt idx="13">
                  <c:v>3800000</c:v>
                </c:pt>
                <c:pt idx="14">
                  <c:v>3800000</c:v>
                </c:pt>
                <c:pt idx="15">
                  <c:v>3800000</c:v>
                </c:pt>
                <c:pt idx="16">
                  <c:v>3800000</c:v>
                </c:pt>
                <c:pt idx="17">
                  <c:v>3800000</c:v>
                </c:pt>
                <c:pt idx="18">
                  <c:v>3800000</c:v>
                </c:pt>
                <c:pt idx="19">
                  <c:v>3800000</c:v>
                </c:pt>
                <c:pt idx="20">
                  <c:v>3800000</c:v>
                </c:pt>
                <c:pt idx="21">
                  <c:v>3800000</c:v>
                </c:pt>
                <c:pt idx="22">
                  <c:v>3800000</c:v>
                </c:pt>
                <c:pt idx="23">
                  <c:v>3800000</c:v>
                </c:pt>
              </c:numCache>
            </c:numRef>
          </c:val>
          <c:smooth val="0"/>
          <c:extLst>
            <c:ext xmlns:c16="http://schemas.microsoft.com/office/drawing/2014/chart" uri="{C3380CC4-5D6E-409C-BE32-E72D297353CC}">
              <c16:uniqueId val="{00000007-0F5B-4830-9362-892A94339D02}"/>
            </c:ext>
          </c:extLst>
        </c:ser>
        <c:ser>
          <c:idx val="4"/>
          <c:order val="6"/>
          <c:tx>
            <c:strRef>
              <c:f>'7. Lüderitz Scenarios'!$J$64</c:f>
              <c:strCache>
                <c:ptCount val="1"/>
                <c:pt idx="0">
                  <c:v>Option 2: 2035 Scenario 5b</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Scenarios'!$J$65:$J$88</c:f>
              <c:numCache>
                <c:formatCode>#,##0</c:formatCode>
                <c:ptCount val="24"/>
                <c:pt idx="0">
                  <c:v>5500000</c:v>
                </c:pt>
                <c:pt idx="1">
                  <c:v>5500000</c:v>
                </c:pt>
                <c:pt idx="2">
                  <c:v>5500000</c:v>
                </c:pt>
                <c:pt idx="3">
                  <c:v>5500000</c:v>
                </c:pt>
                <c:pt idx="4">
                  <c:v>5500000</c:v>
                </c:pt>
                <c:pt idx="5">
                  <c:v>5500000</c:v>
                </c:pt>
                <c:pt idx="6">
                  <c:v>5500000</c:v>
                </c:pt>
                <c:pt idx="7">
                  <c:v>5500000</c:v>
                </c:pt>
                <c:pt idx="8">
                  <c:v>5500000</c:v>
                </c:pt>
                <c:pt idx="9">
                  <c:v>5500000</c:v>
                </c:pt>
                <c:pt idx="10">
                  <c:v>5500000</c:v>
                </c:pt>
                <c:pt idx="11">
                  <c:v>5500000</c:v>
                </c:pt>
                <c:pt idx="12">
                  <c:v>5500000</c:v>
                </c:pt>
                <c:pt idx="13">
                  <c:v>5500000</c:v>
                </c:pt>
                <c:pt idx="14">
                  <c:v>5500000</c:v>
                </c:pt>
                <c:pt idx="15">
                  <c:v>5500000</c:v>
                </c:pt>
                <c:pt idx="16">
                  <c:v>5500000</c:v>
                </c:pt>
                <c:pt idx="17">
                  <c:v>5500000</c:v>
                </c:pt>
                <c:pt idx="18">
                  <c:v>5500000</c:v>
                </c:pt>
                <c:pt idx="19">
                  <c:v>5500000</c:v>
                </c:pt>
                <c:pt idx="20">
                  <c:v>5500000</c:v>
                </c:pt>
                <c:pt idx="21">
                  <c:v>5500000</c:v>
                </c:pt>
                <c:pt idx="22">
                  <c:v>5500000</c:v>
                </c:pt>
                <c:pt idx="23">
                  <c:v>5500000</c:v>
                </c:pt>
              </c:numCache>
            </c:numRef>
          </c:val>
          <c:smooth val="0"/>
          <c:extLst>
            <c:ext xmlns:c16="http://schemas.microsoft.com/office/drawing/2014/chart" uri="{C3380CC4-5D6E-409C-BE32-E72D297353CC}">
              <c16:uniqueId val="{00000008-0F5B-4830-9362-892A94339D02}"/>
            </c:ext>
          </c:extLst>
        </c:ser>
        <c:ser>
          <c:idx val="6"/>
          <c:order val="7"/>
          <c:tx>
            <c:strRef>
              <c:f>'7. Lüderitz Scenarios'!$K$64</c:f>
              <c:strCache>
                <c:ptCount val="1"/>
                <c:pt idx="0">
                  <c:v>Expansion Option 1: 2045 Scenario 2</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Scenarios'!$K$65:$K$88</c:f>
              <c:numCache>
                <c:formatCode>#,##0</c:formatCode>
                <c:ptCount val="24"/>
                <c:pt idx="0">
                  <c:v>4400000</c:v>
                </c:pt>
                <c:pt idx="1">
                  <c:v>4400000</c:v>
                </c:pt>
                <c:pt idx="2">
                  <c:v>4400000</c:v>
                </c:pt>
                <c:pt idx="3">
                  <c:v>4400000</c:v>
                </c:pt>
                <c:pt idx="4">
                  <c:v>4400000</c:v>
                </c:pt>
                <c:pt idx="5">
                  <c:v>4400000</c:v>
                </c:pt>
                <c:pt idx="6">
                  <c:v>4400000</c:v>
                </c:pt>
                <c:pt idx="7">
                  <c:v>4400000</c:v>
                </c:pt>
                <c:pt idx="8">
                  <c:v>4400000</c:v>
                </c:pt>
                <c:pt idx="9">
                  <c:v>4400000</c:v>
                </c:pt>
                <c:pt idx="10">
                  <c:v>4400000</c:v>
                </c:pt>
                <c:pt idx="11">
                  <c:v>4400000</c:v>
                </c:pt>
                <c:pt idx="12">
                  <c:v>4400000</c:v>
                </c:pt>
                <c:pt idx="13">
                  <c:v>4400000</c:v>
                </c:pt>
                <c:pt idx="14">
                  <c:v>4400000</c:v>
                </c:pt>
                <c:pt idx="15">
                  <c:v>4400000</c:v>
                </c:pt>
                <c:pt idx="16">
                  <c:v>4400000</c:v>
                </c:pt>
                <c:pt idx="17">
                  <c:v>4400000</c:v>
                </c:pt>
                <c:pt idx="18">
                  <c:v>4400000</c:v>
                </c:pt>
                <c:pt idx="19">
                  <c:v>4400000</c:v>
                </c:pt>
                <c:pt idx="20">
                  <c:v>4400000</c:v>
                </c:pt>
                <c:pt idx="21">
                  <c:v>4400000</c:v>
                </c:pt>
                <c:pt idx="22">
                  <c:v>4400000</c:v>
                </c:pt>
                <c:pt idx="23">
                  <c:v>4400000</c:v>
                </c:pt>
              </c:numCache>
            </c:numRef>
          </c:val>
          <c:smooth val="0"/>
          <c:extLst>
            <c:ext xmlns:c16="http://schemas.microsoft.com/office/drawing/2014/chart" uri="{C3380CC4-5D6E-409C-BE32-E72D297353CC}">
              <c16:uniqueId val="{00000009-0F5B-4830-9362-892A94339D02}"/>
            </c:ext>
          </c:extLst>
        </c:ser>
        <c:ser>
          <c:idx val="8"/>
          <c:order val="8"/>
          <c:tx>
            <c:strRef>
              <c:f>'7. Lüderitz Scenarios'!$L$64</c:f>
              <c:strCache>
                <c:ptCount val="1"/>
                <c:pt idx="0">
                  <c:v>Expansion Option 2: 2045 Scenario 5b</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Scenarios'!$L$65:$L$88</c:f>
              <c:numCache>
                <c:formatCode>#,##0</c:formatCode>
                <c:ptCount val="24"/>
                <c:pt idx="0">
                  <c:v>6700000</c:v>
                </c:pt>
                <c:pt idx="1">
                  <c:v>6700000</c:v>
                </c:pt>
                <c:pt idx="2">
                  <c:v>6700000</c:v>
                </c:pt>
                <c:pt idx="3">
                  <c:v>6700000</c:v>
                </c:pt>
                <c:pt idx="4">
                  <c:v>6700000</c:v>
                </c:pt>
                <c:pt idx="5">
                  <c:v>6700000</c:v>
                </c:pt>
                <c:pt idx="6">
                  <c:v>6700000</c:v>
                </c:pt>
                <c:pt idx="7">
                  <c:v>6700000</c:v>
                </c:pt>
                <c:pt idx="8">
                  <c:v>6700000</c:v>
                </c:pt>
                <c:pt idx="9">
                  <c:v>6700000</c:v>
                </c:pt>
                <c:pt idx="10">
                  <c:v>6700000</c:v>
                </c:pt>
                <c:pt idx="11">
                  <c:v>6700000</c:v>
                </c:pt>
                <c:pt idx="12">
                  <c:v>6700000</c:v>
                </c:pt>
                <c:pt idx="13">
                  <c:v>6700000</c:v>
                </c:pt>
                <c:pt idx="14">
                  <c:v>6700000</c:v>
                </c:pt>
                <c:pt idx="15">
                  <c:v>6700000</c:v>
                </c:pt>
                <c:pt idx="16">
                  <c:v>6700000</c:v>
                </c:pt>
                <c:pt idx="17">
                  <c:v>6700000</c:v>
                </c:pt>
                <c:pt idx="18">
                  <c:v>6700000</c:v>
                </c:pt>
                <c:pt idx="19">
                  <c:v>6700000</c:v>
                </c:pt>
                <c:pt idx="20">
                  <c:v>6700000</c:v>
                </c:pt>
                <c:pt idx="21">
                  <c:v>6700000</c:v>
                </c:pt>
                <c:pt idx="22">
                  <c:v>6700000</c:v>
                </c:pt>
                <c:pt idx="23">
                  <c:v>6700000</c:v>
                </c:pt>
              </c:numCache>
            </c:numRef>
          </c:val>
          <c:smooth val="0"/>
          <c:extLst>
            <c:ext xmlns:c16="http://schemas.microsoft.com/office/drawing/2014/chart" uri="{C3380CC4-5D6E-409C-BE32-E72D297353CC}">
              <c16:uniqueId val="{0000000A-0F5B-4830-9362-892A94339D02}"/>
            </c:ext>
          </c:extLst>
        </c:ser>
        <c:dLbls>
          <c:showLegendKey val="0"/>
          <c:showVal val="0"/>
          <c:showCatName val="0"/>
          <c:showSerName val="0"/>
          <c:showPercent val="0"/>
          <c:showBubbleSize val="0"/>
        </c:dLbls>
        <c:smooth val="0"/>
        <c:axId val="965504624"/>
        <c:axId val="965514704"/>
      </c:lineChart>
      <c:catAx>
        <c:axId val="965504624"/>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14704"/>
        <c:crosses val="autoZero"/>
        <c:auto val="1"/>
        <c:lblAlgn val="ctr"/>
        <c:lblOffset val="100"/>
        <c:noMultiLvlLbl val="0"/>
      </c:catAx>
      <c:valAx>
        <c:axId val="965514704"/>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Water Demand [m</a:t>
                </a:r>
                <a:r>
                  <a:rPr lang="en-US" baseline="30000"/>
                  <a:t>3</a:t>
                </a:r>
                <a:r>
                  <a:rPr lang="en-US"/>
                  <a:t>/year]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0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en-US" b="1"/>
              <a:t>Figure 1: Total Water Demand (Domestic + Industrial) of Each Scenario</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2"/>
          <c:order val="1"/>
          <c:tx>
            <c:strRef>
              <c:f>'7. Lüderitz Scenarios'!$D$33</c:f>
              <c:strCache>
                <c:ptCount val="1"/>
                <c:pt idx="0">
                  <c:v>Scenario 1</c:v>
                </c:pt>
              </c:strCache>
            </c:strRef>
          </c:tx>
          <c:spPr>
            <a:solidFill>
              <a:schemeClr val="accent3"/>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Scenarios'!$D$34:$D$59</c:f>
              <c:numCache>
                <c:formatCode>#,##0</c:formatCode>
                <c:ptCount val="26"/>
                <c:pt idx="0">
                  <c:v>1216618</c:v>
                </c:pt>
                <c:pt idx="1">
                  <c:v>1704571.7128571428</c:v>
                </c:pt>
                <c:pt idx="2">
                  <c:v>1759312.4338271427</c:v>
                </c:pt>
                <c:pt idx="3">
                  <c:v>1803302.2499375129</c:v>
                </c:pt>
                <c:pt idx="4">
                  <c:v>1826578.6521862005</c:v>
                </c:pt>
                <c:pt idx="5">
                  <c:v>1883858.1588821108</c:v>
                </c:pt>
                <c:pt idx="6">
                  <c:v>2363373.0930757779</c:v>
                </c:pt>
                <c:pt idx="7">
                  <c:v>2392170.5780303692</c:v>
                </c:pt>
                <c:pt idx="8">
                  <c:v>2421572.8101690067</c:v>
                </c:pt>
                <c:pt idx="9">
                  <c:v>2906729.5520396992</c:v>
                </c:pt>
                <c:pt idx="10">
                  <c:v>2941287.3226325326</c:v>
                </c:pt>
                <c:pt idx="11">
                  <c:v>2976570.8064078158</c:v>
                </c:pt>
                <c:pt idx="12">
                  <c:v>3012595.24334238</c:v>
                </c:pt>
                <c:pt idx="13">
                  <c:v>3049376.1934525706</c:v>
                </c:pt>
                <c:pt idx="14">
                  <c:v>3086929.5435150745</c:v>
                </c:pt>
                <c:pt idx="15">
                  <c:v>3125271.5139288912</c:v>
                </c:pt>
                <c:pt idx="16">
                  <c:v>3164418.6657213978</c:v>
                </c:pt>
                <c:pt idx="17">
                  <c:v>3204387.9077015473</c:v>
                </c:pt>
                <c:pt idx="18">
                  <c:v>3245196.5037632799</c:v>
                </c:pt>
                <c:pt idx="19">
                  <c:v>3286862.0803423086</c:v>
                </c:pt>
                <c:pt idx="20">
                  <c:v>3329402.6340294969</c:v>
                </c:pt>
                <c:pt idx="21">
                  <c:v>3372836.5393441161</c:v>
                </c:pt>
                <c:pt idx="22">
                  <c:v>3417182.5566703426</c:v>
                </c:pt>
                <c:pt idx="23">
                  <c:v>3462459.8403604198</c:v>
                </c:pt>
                <c:pt idx="24">
                  <c:v>3508687.9470079886</c:v>
                </c:pt>
                <c:pt idx="25">
                  <c:v>3555886.8438951564</c:v>
                </c:pt>
              </c:numCache>
            </c:numRef>
          </c:val>
          <c:extLst>
            <c:ext xmlns:c16="http://schemas.microsoft.com/office/drawing/2014/chart" uri="{C3380CC4-5D6E-409C-BE32-E72D297353CC}">
              <c16:uniqueId val="{00000002-A486-433B-93F4-B12E43049EB0}"/>
            </c:ext>
          </c:extLst>
        </c:ser>
        <c:ser>
          <c:idx val="3"/>
          <c:order val="2"/>
          <c:tx>
            <c:strRef>
              <c:f>'7. Lüderitz Scenarios'!$E$33</c:f>
              <c:strCache>
                <c:ptCount val="1"/>
                <c:pt idx="0">
                  <c:v>Scenario 2</c:v>
                </c:pt>
              </c:strCache>
            </c:strRef>
          </c:tx>
          <c:spPr>
            <a:solidFill>
              <a:schemeClr val="accent4"/>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Scenarios'!$E$34:$E$59</c:f>
              <c:numCache>
                <c:formatCode>#,##0</c:formatCode>
                <c:ptCount val="26"/>
                <c:pt idx="0">
                  <c:v>1216618</c:v>
                </c:pt>
                <c:pt idx="1">
                  <c:v>1704571.7128571428</c:v>
                </c:pt>
                <c:pt idx="2">
                  <c:v>1759312.4338271427</c:v>
                </c:pt>
                <c:pt idx="3">
                  <c:v>1803302.2499375129</c:v>
                </c:pt>
                <c:pt idx="4">
                  <c:v>1826578.6521862005</c:v>
                </c:pt>
                <c:pt idx="5">
                  <c:v>2641160.1588821108</c:v>
                </c:pt>
                <c:pt idx="6">
                  <c:v>3136578.4350757776</c:v>
                </c:pt>
                <c:pt idx="7">
                  <c:v>3181613.2322123693</c:v>
                </c:pt>
                <c:pt idx="8">
                  <c:v>3227593.7600888284</c:v>
                </c:pt>
                <c:pt idx="9">
                  <c:v>3729676.9419078371</c:v>
                </c:pt>
                <c:pt idx="10">
                  <c:v>3781516.6076879017</c:v>
                </c:pt>
                <c:pt idx="11">
                  <c:v>3834444.9064493477</c:v>
                </c:pt>
                <c:pt idx="12">
                  <c:v>3888484.6994847837</c:v>
                </c:pt>
                <c:pt idx="13">
                  <c:v>3943659.3281739643</c:v>
                </c:pt>
                <c:pt idx="14">
                  <c:v>3999992.6240656176</c:v>
                </c:pt>
                <c:pt idx="15">
                  <c:v>4057508.9191709957</c:v>
                </c:pt>
                <c:pt idx="16">
                  <c:v>4116233.0564735867</c:v>
                </c:pt>
                <c:pt idx="17">
                  <c:v>4176190.4006595318</c:v>
                </c:pt>
                <c:pt idx="18">
                  <c:v>4237406.8490733821</c:v>
                </c:pt>
                <c:pt idx="19">
                  <c:v>4299908.8429039232</c:v>
                </c:pt>
                <c:pt idx="20">
                  <c:v>4363723.3786049057</c:v>
                </c:pt>
                <c:pt idx="21">
                  <c:v>4428878.0195556087</c:v>
                </c:pt>
                <c:pt idx="22">
                  <c:v>4495400.9079662766</c:v>
                </c:pt>
                <c:pt idx="23">
                  <c:v>4563320.7770335674</c:v>
                </c:pt>
                <c:pt idx="24">
                  <c:v>4632666.9633512739</c:v>
                </c:pt>
                <c:pt idx="25">
                  <c:v>4703469.4195816498</c:v>
                </c:pt>
              </c:numCache>
            </c:numRef>
          </c:val>
          <c:extLst>
            <c:ext xmlns:c16="http://schemas.microsoft.com/office/drawing/2014/chart" uri="{C3380CC4-5D6E-409C-BE32-E72D297353CC}">
              <c16:uniqueId val="{00000003-A486-433B-93F4-B12E43049EB0}"/>
            </c:ext>
          </c:extLst>
        </c:ser>
        <c:ser>
          <c:idx val="4"/>
          <c:order val="3"/>
          <c:tx>
            <c:strRef>
              <c:f>'7. Lüderitz Scenarios'!$F$33</c:f>
              <c:strCache>
                <c:ptCount val="1"/>
                <c:pt idx="0">
                  <c:v>Scenario 3a</c:v>
                </c:pt>
              </c:strCache>
            </c:strRef>
          </c:tx>
          <c:spPr>
            <a:solidFill>
              <a:schemeClr val="accent5"/>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Scenarios'!$F$34:$F$59</c:f>
              <c:numCache>
                <c:formatCode>#,##0</c:formatCode>
                <c:ptCount val="26"/>
                <c:pt idx="0">
                  <c:v>1216618</c:v>
                </c:pt>
                <c:pt idx="1">
                  <c:v>1704571.7128571428</c:v>
                </c:pt>
                <c:pt idx="2">
                  <c:v>3931062.4338271427</c:v>
                </c:pt>
                <c:pt idx="3">
                  <c:v>3989998.9999375129</c:v>
                </c:pt>
                <c:pt idx="4">
                  <c:v>4028536.0339362007</c:v>
                </c:pt>
                <c:pt idx="5">
                  <c:v>4101396.6456488613</c:v>
                </c:pt>
                <c:pt idx="6">
                  <c:v>13721819.88806463</c:v>
                </c:pt>
                <c:pt idx="7">
                  <c:v>13766859.755713986</c:v>
                </c:pt>
                <c:pt idx="8">
                  <c:v>13812845.460583981</c:v>
                </c:pt>
                <c:pt idx="9">
                  <c:v>21410533.928113386</c:v>
                </c:pt>
                <c:pt idx="10">
                  <c:v>21450421.590603769</c:v>
                </c:pt>
                <c:pt idx="11">
                  <c:v>21491146.89400645</c:v>
                </c:pt>
                <c:pt idx="12">
                  <c:v>21532727.428780586</c:v>
                </c:pt>
                <c:pt idx="13">
                  <c:v>21575181.154784977</c:v>
                </c:pt>
                <c:pt idx="14">
                  <c:v>21618526.409035459</c:v>
                </c:pt>
                <c:pt idx="15">
                  <c:v>21662781.913625207</c:v>
                </c:pt>
                <c:pt idx="16">
                  <c:v>21707966.783811335</c:v>
                </c:pt>
                <c:pt idx="17">
                  <c:v>21754100.536271371</c:v>
                </c:pt>
                <c:pt idx="18">
                  <c:v>21801203.09753307</c:v>
                </c:pt>
                <c:pt idx="19">
                  <c:v>21849294.812581267</c:v>
                </c:pt>
                <c:pt idx="20">
                  <c:v>21898396.453645471</c:v>
                </c:pt>
                <c:pt idx="21">
                  <c:v>21948529.229172029</c:v>
                </c:pt>
                <c:pt idx="22">
                  <c:v>21999714.792984642</c:v>
                </c:pt>
                <c:pt idx="23">
                  <c:v>22051975.253637318</c:v>
                </c:pt>
                <c:pt idx="24">
                  <c:v>22105333.183963701</c:v>
                </c:pt>
                <c:pt idx="25">
                  <c:v>22159811.630826939</c:v>
                </c:pt>
              </c:numCache>
            </c:numRef>
          </c:val>
          <c:extLst>
            <c:ext xmlns:c16="http://schemas.microsoft.com/office/drawing/2014/chart" uri="{C3380CC4-5D6E-409C-BE32-E72D297353CC}">
              <c16:uniqueId val="{00000004-A486-433B-93F4-B12E43049EB0}"/>
            </c:ext>
          </c:extLst>
        </c:ser>
        <c:ser>
          <c:idx val="5"/>
          <c:order val="4"/>
          <c:tx>
            <c:strRef>
              <c:f>'7. Lüderitz Scenarios'!$G$33</c:f>
              <c:strCache>
                <c:ptCount val="1"/>
                <c:pt idx="0">
                  <c:v>Scenario 3b</c:v>
                </c:pt>
              </c:strCache>
            </c:strRef>
          </c:tx>
          <c:spPr>
            <a:solidFill>
              <a:schemeClr val="accent6"/>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Scenarios'!$G$34:$G$59</c:f>
              <c:numCache>
                <c:formatCode>#,##0</c:formatCode>
                <c:ptCount val="26"/>
                <c:pt idx="0">
                  <c:v>1216618</c:v>
                </c:pt>
                <c:pt idx="1">
                  <c:v>1704571.7128571428</c:v>
                </c:pt>
                <c:pt idx="2">
                  <c:v>4842102.4338271432</c:v>
                </c:pt>
                <c:pt idx="3">
                  <c:v>4920170.8399375128</c:v>
                </c:pt>
                <c:pt idx="4">
                  <c:v>4978241.4825762007</c:v>
                </c:pt>
                <c:pt idx="5">
                  <c:v>5071045.9087103009</c:v>
                </c:pt>
                <c:pt idx="6">
                  <c:v>14711831.785650359</c:v>
                </c:pt>
                <c:pt idx="7">
                  <c:v>14777661.903149016</c:v>
                </c:pt>
                <c:pt idx="8">
                  <c:v>14844874.453115147</c:v>
                </c:pt>
                <c:pt idx="9">
                  <c:v>23358193.529487707</c:v>
                </c:pt>
                <c:pt idx="10">
                  <c:v>23438982.043606952</c:v>
                </c:pt>
                <c:pt idx="11">
                  <c:v>23521467.116522696</c:v>
                </c:pt>
                <c:pt idx="12">
                  <c:v>23605684.375969674</c:v>
                </c:pt>
                <c:pt idx="13">
                  <c:v>23691670.197865035</c:v>
                </c:pt>
                <c:pt idx="14">
                  <c:v>23779461.722020201</c:v>
                </c:pt>
                <c:pt idx="15">
                  <c:v>23869096.868182626</c:v>
                </c:pt>
                <c:pt idx="16">
                  <c:v>23960614.352414459</c:v>
                </c:pt>
                <c:pt idx="17">
                  <c:v>24054053.703815166</c:v>
                </c:pt>
                <c:pt idx="18">
                  <c:v>24149455.281595282</c:v>
                </c:pt>
                <c:pt idx="19">
                  <c:v>24246860.292508785</c:v>
                </c:pt>
                <c:pt idx="20">
                  <c:v>24346310.80865147</c:v>
                </c:pt>
                <c:pt idx="21">
                  <c:v>24447849.78563315</c:v>
                </c:pt>
                <c:pt idx="22">
                  <c:v>24551521.081131447</c:v>
                </c:pt>
                <c:pt idx="23">
                  <c:v>24657369.473835208</c:v>
                </c:pt>
                <c:pt idx="24">
                  <c:v>24765440.682785746</c:v>
                </c:pt>
                <c:pt idx="25">
                  <c:v>24875781.387124248</c:v>
                </c:pt>
              </c:numCache>
            </c:numRef>
          </c:val>
          <c:extLst>
            <c:ext xmlns:c16="http://schemas.microsoft.com/office/drawing/2014/chart" uri="{C3380CC4-5D6E-409C-BE32-E72D297353CC}">
              <c16:uniqueId val="{00000005-A486-433B-93F4-B12E43049EB0}"/>
            </c:ext>
          </c:extLst>
        </c:ser>
        <c:ser>
          <c:idx val="6"/>
          <c:order val="5"/>
          <c:tx>
            <c:strRef>
              <c:f>'7. Lüderitz Scenarios'!$H$33</c:f>
              <c:strCache>
                <c:ptCount val="1"/>
                <c:pt idx="0">
                  <c:v>Scenario 4a</c:v>
                </c:pt>
              </c:strCache>
            </c:strRef>
          </c:tx>
          <c:spPr>
            <a:solidFill>
              <a:schemeClr val="accent1">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Scenarios'!$H$34:$H$59</c:f>
              <c:numCache>
                <c:formatCode>#,##0</c:formatCode>
                <c:ptCount val="26"/>
                <c:pt idx="0">
                  <c:v>1216618</c:v>
                </c:pt>
                <c:pt idx="1">
                  <c:v>1704571.7128571428</c:v>
                </c:pt>
                <c:pt idx="2">
                  <c:v>3931062.4338271427</c:v>
                </c:pt>
                <c:pt idx="3">
                  <c:v>3989998.9999375129</c:v>
                </c:pt>
                <c:pt idx="4">
                  <c:v>4028536.0339362007</c:v>
                </c:pt>
                <c:pt idx="5">
                  <c:v>4858698.6456488613</c:v>
                </c:pt>
                <c:pt idx="6">
                  <c:v>14495025.230064631</c:v>
                </c:pt>
                <c:pt idx="7">
                  <c:v>14556302.409895986</c:v>
                </c:pt>
                <c:pt idx="8">
                  <c:v>14618866.410503803</c:v>
                </c:pt>
                <c:pt idx="9">
                  <c:v>22233481.317981526</c:v>
                </c:pt>
                <c:pt idx="10">
                  <c:v>22290650.875659138</c:v>
                </c:pt>
                <c:pt idx="11">
                  <c:v>22349020.994047981</c:v>
                </c:pt>
                <c:pt idx="12">
                  <c:v>22408616.884922989</c:v>
                </c:pt>
                <c:pt idx="13">
                  <c:v>22469464.289506372</c:v>
                </c:pt>
                <c:pt idx="14">
                  <c:v>22531589.489586007</c:v>
                </c:pt>
                <c:pt idx="15">
                  <c:v>22595019.318867311</c:v>
                </c:pt>
                <c:pt idx="16">
                  <c:v>22659781.174563527</c:v>
                </c:pt>
                <c:pt idx="17">
                  <c:v>22725903.029229358</c:v>
                </c:pt>
                <c:pt idx="18">
                  <c:v>22793413.442843176</c:v>
                </c:pt>
                <c:pt idx="19">
                  <c:v>22862341.575142883</c:v>
                </c:pt>
                <c:pt idx="20">
                  <c:v>22932717.198220883</c:v>
                </c:pt>
                <c:pt idx="21">
                  <c:v>23004570.709383521</c:v>
                </c:pt>
                <c:pt idx="22">
                  <c:v>23077933.144280575</c:v>
                </c:pt>
                <c:pt idx="23">
                  <c:v>23152836.190310467</c:v>
                </c:pt>
                <c:pt idx="24">
                  <c:v>23229312.200306989</c:v>
                </c:pt>
                <c:pt idx="25">
                  <c:v>23307394.206513435</c:v>
                </c:pt>
              </c:numCache>
            </c:numRef>
          </c:val>
          <c:extLst>
            <c:ext xmlns:c16="http://schemas.microsoft.com/office/drawing/2014/chart" uri="{C3380CC4-5D6E-409C-BE32-E72D297353CC}">
              <c16:uniqueId val="{00000006-A486-433B-93F4-B12E43049EB0}"/>
            </c:ext>
          </c:extLst>
        </c:ser>
        <c:ser>
          <c:idx val="7"/>
          <c:order val="6"/>
          <c:tx>
            <c:strRef>
              <c:f>'7. Lüderitz Scenarios'!$I$33</c:f>
              <c:strCache>
                <c:ptCount val="1"/>
                <c:pt idx="0">
                  <c:v>Scenario 4b</c:v>
                </c:pt>
              </c:strCache>
            </c:strRef>
          </c:tx>
          <c:spPr>
            <a:solidFill>
              <a:schemeClr val="accent2">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Scenarios'!$I$34:$I$59</c:f>
              <c:numCache>
                <c:formatCode>#,##0</c:formatCode>
                <c:ptCount val="26"/>
                <c:pt idx="0">
                  <c:v>1216618</c:v>
                </c:pt>
                <c:pt idx="1">
                  <c:v>1704571.7128571428</c:v>
                </c:pt>
                <c:pt idx="2">
                  <c:v>4842102.4338271432</c:v>
                </c:pt>
                <c:pt idx="3">
                  <c:v>4920170.8399375128</c:v>
                </c:pt>
                <c:pt idx="4">
                  <c:v>4978241.4825762007</c:v>
                </c:pt>
                <c:pt idx="5">
                  <c:v>5828347.9087103009</c:v>
                </c:pt>
                <c:pt idx="6">
                  <c:v>15485037.12765036</c:v>
                </c:pt>
                <c:pt idx="7">
                  <c:v>15567104.557331018</c:v>
                </c:pt>
                <c:pt idx="8">
                  <c:v>15650895.403034968</c:v>
                </c:pt>
                <c:pt idx="9">
                  <c:v>24181140.919355847</c:v>
                </c:pt>
                <c:pt idx="10">
                  <c:v>24279211.328662321</c:v>
                </c:pt>
                <c:pt idx="11">
                  <c:v>24379341.216564231</c:v>
                </c:pt>
                <c:pt idx="12">
                  <c:v>24481573.832112078</c:v>
                </c:pt>
                <c:pt idx="13">
                  <c:v>24585953.33258643</c:v>
                </c:pt>
                <c:pt idx="14">
                  <c:v>24692524.802570745</c:v>
                </c:pt>
                <c:pt idx="15">
                  <c:v>24801334.27342473</c:v>
                </c:pt>
                <c:pt idx="16">
                  <c:v>24912428.743166652</c:v>
                </c:pt>
                <c:pt idx="17">
                  <c:v>25025856.196773149</c:v>
                </c:pt>
                <c:pt idx="18">
                  <c:v>25141665.626905389</c:v>
                </c:pt>
                <c:pt idx="19">
                  <c:v>25259907.0550704</c:v>
                </c:pt>
                <c:pt idx="20">
                  <c:v>25380631.553226881</c:v>
                </c:pt>
                <c:pt idx="21">
                  <c:v>25503891.265844643</c:v>
                </c:pt>
                <c:pt idx="22">
                  <c:v>25629739.432427384</c:v>
                </c:pt>
                <c:pt idx="23">
                  <c:v>25758230.410508357</c:v>
                </c:pt>
                <c:pt idx="24">
                  <c:v>25889419.69912903</c:v>
                </c:pt>
                <c:pt idx="25">
                  <c:v>26023363.96281074</c:v>
                </c:pt>
              </c:numCache>
            </c:numRef>
          </c:val>
          <c:extLst>
            <c:ext xmlns:c16="http://schemas.microsoft.com/office/drawing/2014/chart" uri="{C3380CC4-5D6E-409C-BE32-E72D297353CC}">
              <c16:uniqueId val="{00000007-A486-433B-93F4-B12E43049EB0}"/>
            </c:ext>
          </c:extLst>
        </c:ser>
        <c:ser>
          <c:idx val="8"/>
          <c:order val="7"/>
          <c:tx>
            <c:strRef>
              <c:f>'7. Lüderitz Scenarios'!$J$33</c:f>
              <c:strCache>
                <c:ptCount val="1"/>
                <c:pt idx="0">
                  <c:v>Scenario 5a</c:v>
                </c:pt>
              </c:strCache>
            </c:strRef>
          </c:tx>
          <c:spPr>
            <a:solidFill>
              <a:srgbClr val="44B3E1"/>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Scenarios'!$J$34:$J$59</c:f>
              <c:numCache>
                <c:formatCode>#,##0</c:formatCode>
                <c:ptCount val="26"/>
                <c:pt idx="0">
                  <c:v>1216618</c:v>
                </c:pt>
                <c:pt idx="1">
                  <c:v>1704571.7128571428</c:v>
                </c:pt>
                <c:pt idx="2">
                  <c:v>4842102.4338271432</c:v>
                </c:pt>
                <c:pt idx="3">
                  <c:v>4920170.8399375128</c:v>
                </c:pt>
                <c:pt idx="4">
                  <c:v>4978241.4825762007</c:v>
                </c:pt>
                <c:pt idx="5">
                  <c:v>5828347.9087103009</c:v>
                </c:pt>
                <c:pt idx="6">
                  <c:v>15485037.12765036</c:v>
                </c:pt>
                <c:pt idx="7">
                  <c:v>15567104.557331018</c:v>
                </c:pt>
                <c:pt idx="8">
                  <c:v>15650895.403034968</c:v>
                </c:pt>
                <c:pt idx="9">
                  <c:v>24181140.919355847</c:v>
                </c:pt>
                <c:pt idx="10">
                  <c:v>25739211.328662321</c:v>
                </c:pt>
                <c:pt idx="11">
                  <c:v>25839341.216564231</c:v>
                </c:pt>
                <c:pt idx="12">
                  <c:v>25941573.832112078</c:v>
                </c:pt>
                <c:pt idx="13">
                  <c:v>26045953.33258643</c:v>
                </c:pt>
                <c:pt idx="14">
                  <c:v>35277524.802570745</c:v>
                </c:pt>
                <c:pt idx="15">
                  <c:v>35386334.27342473</c:v>
                </c:pt>
                <c:pt idx="16">
                  <c:v>35497428.743166655</c:v>
                </c:pt>
                <c:pt idx="17">
                  <c:v>43418206.196773157</c:v>
                </c:pt>
                <c:pt idx="18">
                  <c:v>43537004.976905391</c:v>
                </c:pt>
                <c:pt idx="19">
                  <c:v>43658298.531420402</c:v>
                </c:pt>
                <c:pt idx="20">
                  <c:v>43782139.250580236</c:v>
                </c:pt>
                <c:pt idx="21">
                  <c:v>43908580.62484242</c:v>
                </c:pt>
                <c:pt idx="22">
                  <c:v>44037677.26796411</c:v>
                </c:pt>
                <c:pt idx="23">
                  <c:v>44169484.94059135</c:v>
                </c:pt>
                <c:pt idx="24">
                  <c:v>44304060.574343771</c:v>
                </c:pt>
                <c:pt idx="25">
                  <c:v>44441462.296404988</c:v>
                </c:pt>
              </c:numCache>
            </c:numRef>
          </c:val>
          <c:extLst>
            <c:ext xmlns:c16="http://schemas.microsoft.com/office/drawing/2014/chart" uri="{C3380CC4-5D6E-409C-BE32-E72D297353CC}">
              <c16:uniqueId val="{00000008-A486-433B-93F4-B12E43049EB0}"/>
            </c:ext>
          </c:extLst>
        </c:ser>
        <c:ser>
          <c:idx val="9"/>
          <c:order val="8"/>
          <c:tx>
            <c:strRef>
              <c:f>'7. Lüderitz Scenarios'!$K$33</c:f>
              <c:strCache>
                <c:ptCount val="1"/>
                <c:pt idx="0">
                  <c:v>Scenario 5b</c:v>
                </c:pt>
              </c:strCache>
            </c:strRef>
          </c:tx>
          <c:spPr>
            <a:solidFill>
              <a:schemeClr val="accent4">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Scenarios'!$K$34:$K$59</c:f>
              <c:numCache>
                <c:formatCode>#,##0</c:formatCode>
                <c:ptCount val="26"/>
                <c:pt idx="0">
                  <c:v>1216618</c:v>
                </c:pt>
                <c:pt idx="1">
                  <c:v>1704571.7128571428</c:v>
                </c:pt>
                <c:pt idx="2">
                  <c:v>4842102.4338271432</c:v>
                </c:pt>
                <c:pt idx="3">
                  <c:v>4920170.8399375128</c:v>
                </c:pt>
                <c:pt idx="4">
                  <c:v>4978241.4825762007</c:v>
                </c:pt>
                <c:pt idx="5">
                  <c:v>5828347.9087103009</c:v>
                </c:pt>
                <c:pt idx="6">
                  <c:v>15485037.12765036</c:v>
                </c:pt>
                <c:pt idx="7">
                  <c:v>15567104.557331018</c:v>
                </c:pt>
                <c:pt idx="8">
                  <c:v>15650895.403034968</c:v>
                </c:pt>
                <c:pt idx="9">
                  <c:v>24181140.919355847</c:v>
                </c:pt>
                <c:pt idx="10">
                  <c:v>25739211.328662321</c:v>
                </c:pt>
                <c:pt idx="11">
                  <c:v>25839341.216564231</c:v>
                </c:pt>
                <c:pt idx="12">
                  <c:v>25941573.832112078</c:v>
                </c:pt>
                <c:pt idx="13">
                  <c:v>26045953.33258643</c:v>
                </c:pt>
                <c:pt idx="14">
                  <c:v>35277524.802570745</c:v>
                </c:pt>
                <c:pt idx="15">
                  <c:v>35386334.27342473</c:v>
                </c:pt>
                <c:pt idx="16">
                  <c:v>35497428.743166655</c:v>
                </c:pt>
                <c:pt idx="17">
                  <c:v>43600414.196773157</c:v>
                </c:pt>
                <c:pt idx="18">
                  <c:v>43723039.344905391</c:v>
                </c:pt>
                <c:pt idx="19">
                  <c:v>43848239.621148407</c:v>
                </c:pt>
                <c:pt idx="20">
                  <c:v>43976069.103192523</c:v>
                </c:pt>
                <c:pt idx="21">
                  <c:v>44106583.004359566</c:v>
                </c:pt>
                <c:pt idx="22">
                  <c:v>44239837.697451115</c:v>
                </c:pt>
                <c:pt idx="23">
                  <c:v>44375890.739097588</c:v>
                </c:pt>
                <c:pt idx="24">
                  <c:v>44514800.894618638</c:v>
                </c:pt>
                <c:pt idx="25">
                  <c:v>44656628.163405627</c:v>
                </c:pt>
              </c:numCache>
            </c:numRef>
          </c:val>
          <c:extLst>
            <c:ext xmlns:c16="http://schemas.microsoft.com/office/drawing/2014/chart" uri="{C3380CC4-5D6E-409C-BE32-E72D297353CC}">
              <c16:uniqueId val="{00000009-A486-433B-93F4-B12E43049EB0}"/>
            </c:ext>
          </c:extLst>
        </c:ser>
        <c:dLbls>
          <c:showLegendKey val="0"/>
          <c:showVal val="0"/>
          <c:showCatName val="0"/>
          <c:showSerName val="0"/>
          <c:showPercent val="0"/>
          <c:showBubbleSize val="0"/>
        </c:dLbls>
        <c:gapWidth val="219"/>
        <c:axId val="1605801408"/>
        <c:axId val="1605801888"/>
      </c:barChart>
      <c:lineChart>
        <c:grouping val="standard"/>
        <c:varyColors val="0"/>
        <c:ser>
          <c:idx val="1"/>
          <c:order val="0"/>
          <c:tx>
            <c:strRef>
              <c:f>'7. Lüderitz Scenarios'!$C$33</c:f>
              <c:strCache>
                <c:ptCount val="1"/>
                <c:pt idx="0">
                  <c:v>2024 Demand Growth Rate</c:v>
                </c:pt>
              </c:strCache>
            </c:strRef>
          </c:tx>
          <c:spPr>
            <a:ln w="28575" cap="rnd">
              <a:solidFill>
                <a:schemeClr val="accent2"/>
              </a:solidFill>
              <a:round/>
            </a:ln>
            <a:effectLst/>
          </c:spPr>
          <c:marker>
            <c:symbol val="none"/>
          </c:marker>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Scenarios'!$C$34:$C$59</c:f>
              <c:numCache>
                <c:formatCode>#,##0</c:formatCode>
                <c:ptCount val="26"/>
                <c:pt idx="0">
                  <c:v>1179534</c:v>
                </c:pt>
                <c:pt idx="1">
                  <c:v>1215409.7039999999</c:v>
                </c:pt>
                <c:pt idx="2">
                  <c:v>1253921.5162559999</c:v>
                </c:pt>
                <c:pt idx="3">
                  <c:v>1295279.3896362239</c:v>
                </c:pt>
                <c:pt idx="4">
                  <c:v>1339710.0694951848</c:v>
                </c:pt>
                <c:pt idx="5">
                  <c:v>1387458.4370576148</c:v>
                </c:pt>
                <c:pt idx="6">
                  <c:v>1438788.9602730507</c:v>
                </c:pt>
                <c:pt idx="7">
                  <c:v>1493987.2607387244</c:v>
                </c:pt>
                <c:pt idx="8">
                  <c:v>1553361.8059762276</c:v>
                </c:pt>
                <c:pt idx="9">
                  <c:v>1617245.7370902444</c:v>
                </c:pt>
                <c:pt idx="10">
                  <c:v>1685998.8426399264</c:v>
                </c:pt>
                <c:pt idx="11">
                  <c:v>1760009.6904199128</c:v>
                </c:pt>
                <c:pt idx="12">
                  <c:v>1839697.9297837731</c:v>
                </c:pt>
                <c:pt idx="13">
                  <c:v>1925516.7781532635</c:v>
                </c:pt>
                <c:pt idx="14">
                  <c:v>2017955.7064482602</c:v>
                </c:pt>
                <c:pt idx="15">
                  <c:v>2117543.3393510277</c:v>
                </c:pt>
                <c:pt idx="16">
                  <c:v>2224850.5875915643</c:v>
                </c:pt>
                <c:pt idx="17">
                  <c:v>2340494.0308157131</c:v>
                </c:pt>
                <c:pt idx="18">
                  <c:v>2465139.5710826614</c:v>
                </c:pt>
                <c:pt idx="19">
                  <c:v>2599506.3786421726</c:v>
                </c:pt>
                <c:pt idx="20">
                  <c:v>2744371.1533739362</c:v>
                </c:pt>
                <c:pt idx="21">
                  <c:v>2900572.727142002</c:v>
                </c:pt>
                <c:pt idx="22">
                  <c:v>3069017.0343375062</c:v>
                </c:pt>
                <c:pt idx="23">
                  <c:v>3250682.4800647469</c:v>
                </c:pt>
                <c:pt idx="24">
                  <c:v>3446625.7377820881</c:v>
                </c:pt>
                <c:pt idx="25">
                  <c:v>3657988.0107540651</c:v>
                </c:pt>
              </c:numCache>
            </c:numRef>
          </c:val>
          <c:smooth val="0"/>
          <c:extLst>
            <c:ext xmlns:c16="http://schemas.microsoft.com/office/drawing/2014/chart" uri="{C3380CC4-5D6E-409C-BE32-E72D297353CC}">
              <c16:uniqueId val="{00000001-A486-433B-93F4-B12E43049EB0}"/>
            </c:ext>
          </c:extLst>
        </c:ser>
        <c:ser>
          <c:idx val="0"/>
          <c:order val="9"/>
          <c:tx>
            <c:v>Current total demand</c:v>
          </c:tx>
          <c:spPr>
            <a:ln w="28575" cap="rnd">
              <a:solidFill>
                <a:schemeClr val="accent1"/>
              </a:solidFill>
              <a:round/>
            </a:ln>
            <a:effectLst/>
          </c:spPr>
          <c:marker>
            <c:symbol val="none"/>
          </c:marker>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Scenarios'!$W$34:$W$59</c:f>
              <c:numCache>
                <c:formatCode>#,##0</c:formatCode>
                <c:ptCount val="26"/>
                <c:pt idx="0">
                  <c:v>1146100</c:v>
                </c:pt>
                <c:pt idx="1">
                  <c:v>1146100</c:v>
                </c:pt>
                <c:pt idx="2">
                  <c:v>1146100</c:v>
                </c:pt>
                <c:pt idx="3">
                  <c:v>1146100</c:v>
                </c:pt>
                <c:pt idx="4">
                  <c:v>1146100</c:v>
                </c:pt>
                <c:pt idx="5">
                  <c:v>1146100</c:v>
                </c:pt>
                <c:pt idx="6">
                  <c:v>1146100</c:v>
                </c:pt>
                <c:pt idx="7">
                  <c:v>1146100</c:v>
                </c:pt>
                <c:pt idx="8">
                  <c:v>1146100</c:v>
                </c:pt>
                <c:pt idx="9">
                  <c:v>1146100</c:v>
                </c:pt>
                <c:pt idx="10">
                  <c:v>1146100</c:v>
                </c:pt>
                <c:pt idx="11">
                  <c:v>1146100</c:v>
                </c:pt>
                <c:pt idx="12">
                  <c:v>1146100</c:v>
                </c:pt>
                <c:pt idx="13">
                  <c:v>1146100</c:v>
                </c:pt>
                <c:pt idx="14">
                  <c:v>1146100</c:v>
                </c:pt>
                <c:pt idx="15">
                  <c:v>1146100</c:v>
                </c:pt>
                <c:pt idx="16">
                  <c:v>1146100</c:v>
                </c:pt>
                <c:pt idx="17">
                  <c:v>1146100</c:v>
                </c:pt>
                <c:pt idx="18">
                  <c:v>1146100</c:v>
                </c:pt>
                <c:pt idx="19">
                  <c:v>1146100</c:v>
                </c:pt>
                <c:pt idx="20">
                  <c:v>1146100</c:v>
                </c:pt>
                <c:pt idx="21">
                  <c:v>1146100</c:v>
                </c:pt>
                <c:pt idx="22">
                  <c:v>1146100</c:v>
                </c:pt>
                <c:pt idx="23">
                  <c:v>1146100</c:v>
                </c:pt>
                <c:pt idx="24">
                  <c:v>1146100</c:v>
                </c:pt>
                <c:pt idx="25">
                  <c:v>1146100</c:v>
                </c:pt>
              </c:numCache>
            </c:numRef>
          </c:val>
          <c:smooth val="0"/>
          <c:extLst>
            <c:ext xmlns:c16="http://schemas.microsoft.com/office/drawing/2014/chart" uri="{C3380CC4-5D6E-409C-BE32-E72D297353CC}">
              <c16:uniqueId val="{0000000A-A486-433B-93F4-B12E43049EB0}"/>
            </c:ext>
          </c:extLst>
        </c:ser>
        <c:dLbls>
          <c:showLegendKey val="0"/>
          <c:showVal val="0"/>
          <c:showCatName val="0"/>
          <c:showSerName val="0"/>
          <c:showPercent val="0"/>
          <c:showBubbleSize val="0"/>
        </c:dLbls>
        <c:marker val="1"/>
        <c:smooth val="0"/>
        <c:axId val="1605801408"/>
        <c:axId val="1605801888"/>
      </c:lineChart>
      <c:catAx>
        <c:axId val="1605801408"/>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605801888"/>
        <c:crosses val="autoZero"/>
        <c:auto val="1"/>
        <c:lblAlgn val="ctr"/>
        <c:lblOffset val="100"/>
        <c:noMultiLvlLbl val="0"/>
      </c:catAx>
      <c:valAx>
        <c:axId val="1605801888"/>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Water Demand [m</a:t>
                </a:r>
                <a:r>
                  <a:rPr lang="en-US" baseline="30000"/>
                  <a:t>3</a:t>
                </a:r>
                <a:r>
                  <a:rPr lang="en-US"/>
                  <a:t>/year]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6058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de-DE" b="1"/>
              <a:t>Figure 2: Unmet</a:t>
            </a:r>
            <a:r>
              <a:rPr lang="de-DE" b="1" baseline="0"/>
              <a:t> Water Demand (Domestic + Non-Hydrogen Industrial) of Each Scenario</a:t>
            </a:r>
            <a:r>
              <a:rPr lang="de-DE" b="1"/>
              <a:t> </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0"/>
          <c:order val="0"/>
          <c:tx>
            <c:v>Scenarios 1 + 3a</c:v>
          </c:tx>
          <c:spPr>
            <a:solidFill>
              <a:schemeClr val="accent1"/>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Scenarios'!$N$34:$N$59</c:f>
              <c:numCache>
                <c:formatCode>#,##0</c:formatCode>
                <c:ptCount val="26"/>
                <c:pt idx="0">
                  <c:v>1216618</c:v>
                </c:pt>
                <c:pt idx="1">
                  <c:v>1704571.7128571428</c:v>
                </c:pt>
                <c:pt idx="2">
                  <c:v>1759312.4338271427</c:v>
                </c:pt>
                <c:pt idx="3">
                  <c:v>1803302.2499375129</c:v>
                </c:pt>
                <c:pt idx="4">
                  <c:v>1826578.6521862005</c:v>
                </c:pt>
                <c:pt idx="5">
                  <c:v>1883858.1588821108</c:v>
                </c:pt>
                <c:pt idx="6">
                  <c:v>2363373.0930757779</c:v>
                </c:pt>
                <c:pt idx="7">
                  <c:v>2392170.5780303692</c:v>
                </c:pt>
                <c:pt idx="8">
                  <c:v>2421572.8101690067</c:v>
                </c:pt>
                <c:pt idx="9">
                  <c:v>2906729.5520396992</c:v>
                </c:pt>
                <c:pt idx="10">
                  <c:v>2941287.3226325326</c:v>
                </c:pt>
                <c:pt idx="11">
                  <c:v>2976570.8064078158</c:v>
                </c:pt>
                <c:pt idx="12">
                  <c:v>3012595.24334238</c:v>
                </c:pt>
                <c:pt idx="13">
                  <c:v>3049376.1934525706</c:v>
                </c:pt>
                <c:pt idx="14">
                  <c:v>3086929.5435150745</c:v>
                </c:pt>
                <c:pt idx="15">
                  <c:v>3125271.5139288912</c:v>
                </c:pt>
                <c:pt idx="16">
                  <c:v>3164418.6657213978</c:v>
                </c:pt>
                <c:pt idx="17">
                  <c:v>3204387.9077015473</c:v>
                </c:pt>
                <c:pt idx="18">
                  <c:v>3245196.5037632799</c:v>
                </c:pt>
                <c:pt idx="19">
                  <c:v>3286862.0803423086</c:v>
                </c:pt>
                <c:pt idx="20">
                  <c:v>3329402.6340294969</c:v>
                </c:pt>
                <c:pt idx="21">
                  <c:v>3372836.5393441161</c:v>
                </c:pt>
                <c:pt idx="22">
                  <c:v>3417182.5566703426</c:v>
                </c:pt>
                <c:pt idx="23">
                  <c:v>3462459.8403604198</c:v>
                </c:pt>
                <c:pt idx="24">
                  <c:v>3508687.9470079886</c:v>
                </c:pt>
                <c:pt idx="25">
                  <c:v>3555886.8438951564</c:v>
                </c:pt>
              </c:numCache>
            </c:numRef>
          </c:val>
          <c:extLst>
            <c:ext xmlns:c16="http://schemas.microsoft.com/office/drawing/2014/chart" uri="{C3380CC4-5D6E-409C-BE32-E72D297353CC}">
              <c16:uniqueId val="{00000000-3ECC-4A09-825E-A403D684D295}"/>
            </c:ext>
          </c:extLst>
        </c:ser>
        <c:ser>
          <c:idx val="1"/>
          <c:order val="1"/>
          <c:tx>
            <c:v>Scenarios 2 + 4a</c:v>
          </c:tx>
          <c:spPr>
            <a:solidFill>
              <a:schemeClr val="accent2"/>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Scenarios'!$O$34:$O$59</c:f>
              <c:numCache>
                <c:formatCode>#,##0</c:formatCode>
                <c:ptCount val="26"/>
                <c:pt idx="0">
                  <c:v>1216618</c:v>
                </c:pt>
                <c:pt idx="1">
                  <c:v>1704571.7128571428</c:v>
                </c:pt>
                <c:pt idx="2">
                  <c:v>1759312.4338271427</c:v>
                </c:pt>
                <c:pt idx="3">
                  <c:v>1803302.2499375129</c:v>
                </c:pt>
                <c:pt idx="4">
                  <c:v>1826578.6521862005</c:v>
                </c:pt>
                <c:pt idx="5">
                  <c:v>2641160.1588821108</c:v>
                </c:pt>
                <c:pt idx="6">
                  <c:v>3136578.4350757776</c:v>
                </c:pt>
                <c:pt idx="7">
                  <c:v>3181613.2322123693</c:v>
                </c:pt>
                <c:pt idx="8">
                  <c:v>3227593.7600888284</c:v>
                </c:pt>
                <c:pt idx="9">
                  <c:v>3729676.9419078371</c:v>
                </c:pt>
                <c:pt idx="10">
                  <c:v>3781516.6076879017</c:v>
                </c:pt>
                <c:pt idx="11">
                  <c:v>3834444.9064493477</c:v>
                </c:pt>
                <c:pt idx="12">
                  <c:v>3888484.6994847837</c:v>
                </c:pt>
                <c:pt idx="13">
                  <c:v>3943659.3281739643</c:v>
                </c:pt>
                <c:pt idx="14">
                  <c:v>3999992.6240656176</c:v>
                </c:pt>
                <c:pt idx="15">
                  <c:v>4057508.9191709957</c:v>
                </c:pt>
                <c:pt idx="16">
                  <c:v>4116233.0564735867</c:v>
                </c:pt>
                <c:pt idx="17">
                  <c:v>4176190.4006595318</c:v>
                </c:pt>
                <c:pt idx="18">
                  <c:v>4237406.8490733821</c:v>
                </c:pt>
                <c:pt idx="19">
                  <c:v>4299908.8429039232</c:v>
                </c:pt>
                <c:pt idx="20">
                  <c:v>4363723.3786049057</c:v>
                </c:pt>
                <c:pt idx="21">
                  <c:v>4428878.0195556087</c:v>
                </c:pt>
                <c:pt idx="22">
                  <c:v>4495400.9079662766</c:v>
                </c:pt>
                <c:pt idx="23">
                  <c:v>4563320.7770335674</c:v>
                </c:pt>
                <c:pt idx="24">
                  <c:v>4632666.9633512739</c:v>
                </c:pt>
                <c:pt idx="25">
                  <c:v>4703469.4195816498</c:v>
                </c:pt>
              </c:numCache>
            </c:numRef>
          </c:val>
          <c:extLst>
            <c:ext xmlns:c16="http://schemas.microsoft.com/office/drawing/2014/chart" uri="{C3380CC4-5D6E-409C-BE32-E72D297353CC}">
              <c16:uniqueId val="{00000001-3ECC-4A09-825E-A403D684D295}"/>
            </c:ext>
          </c:extLst>
        </c:ser>
        <c:ser>
          <c:idx val="3"/>
          <c:order val="2"/>
          <c:tx>
            <c:strRef>
              <c:f>'7. Lüderitz Scenarios'!$Q$33</c:f>
              <c:strCache>
                <c:ptCount val="1"/>
                <c:pt idx="0">
                  <c:v>Scenario 3b</c:v>
                </c:pt>
              </c:strCache>
            </c:strRef>
          </c:tx>
          <c:spPr>
            <a:solidFill>
              <a:schemeClr val="accent4"/>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Scenarios'!$Q$34:$Q$59</c:f>
              <c:numCache>
                <c:formatCode>#,##0</c:formatCode>
                <c:ptCount val="26"/>
                <c:pt idx="0">
                  <c:v>1216618</c:v>
                </c:pt>
                <c:pt idx="1">
                  <c:v>1704571.7128571428</c:v>
                </c:pt>
                <c:pt idx="2">
                  <c:v>2955052.4338271427</c:v>
                </c:pt>
                <c:pt idx="3">
                  <c:v>3024152.7899375129</c:v>
                </c:pt>
                <c:pt idx="4">
                  <c:v>3073067.0535262008</c:v>
                </c:pt>
                <c:pt idx="5">
                  <c:v>3156522.8166502509</c:v>
                </c:pt>
                <c:pt idx="6">
                  <c:v>3662763.7086570486</c:v>
                </c:pt>
                <c:pt idx="7">
                  <c:v>3718848.3965388467</c:v>
                </c:pt>
                <c:pt idx="8">
                  <c:v>3776110.8628661628</c:v>
                </c:pt>
                <c:pt idx="9">
                  <c:v>3333120.903843496</c:v>
                </c:pt>
                <c:pt idx="10">
                  <c:v>3376632.8928242093</c:v>
                </c:pt>
                <c:pt idx="11">
                  <c:v>3421058.6335735177</c:v>
                </c:pt>
                <c:pt idx="12">
                  <c:v>3466417.3148785615</c:v>
                </c:pt>
                <c:pt idx="13">
                  <c:v>3512728.5284910114</c:v>
                </c:pt>
                <c:pt idx="14">
                  <c:v>3560012.2775893225</c:v>
                </c:pt>
                <c:pt idx="15">
                  <c:v>3608288.9854186983</c:v>
                </c:pt>
                <c:pt idx="16">
                  <c:v>3657579.5041124909</c:v>
                </c:pt>
                <c:pt idx="17">
                  <c:v>3707905.123698853</c:v>
                </c:pt>
                <c:pt idx="18">
                  <c:v>3759287.5812965292</c:v>
                </c:pt>
                <c:pt idx="19">
                  <c:v>3811749.0705037559</c:v>
                </c:pt>
                <c:pt idx="20">
                  <c:v>3865312.2509843353</c:v>
                </c:pt>
                <c:pt idx="21">
                  <c:v>3920000.2582550063</c:v>
                </c:pt>
                <c:pt idx="22">
                  <c:v>3975836.7136783614</c:v>
                </c:pt>
                <c:pt idx="23">
                  <c:v>4032845.7346656066</c:v>
                </c:pt>
                <c:pt idx="24">
                  <c:v>4091051.9450935847</c:v>
                </c:pt>
                <c:pt idx="25">
                  <c:v>4150480.4859405495</c:v>
                </c:pt>
              </c:numCache>
            </c:numRef>
          </c:val>
          <c:extLst>
            <c:ext xmlns:c16="http://schemas.microsoft.com/office/drawing/2014/chart" uri="{C3380CC4-5D6E-409C-BE32-E72D297353CC}">
              <c16:uniqueId val="{00000003-3ECC-4A09-825E-A403D684D295}"/>
            </c:ext>
          </c:extLst>
        </c:ser>
        <c:ser>
          <c:idx val="5"/>
          <c:order val="3"/>
          <c:tx>
            <c:v>Scenarios 4b + 5a</c:v>
          </c:tx>
          <c:spPr>
            <a:solidFill>
              <a:schemeClr val="accent6"/>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Scenarios'!$S$34:$S$59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6091733.6188485157</c:v>
                </c:pt>
                <c:pt idx="18">
                  <c:v>6193176.4748443346</c:v>
                </c:pt>
                <c:pt idx="19">
                  <c:v>6296749.6308160657</c:v>
                </c:pt>
                <c:pt idx="20">
                  <c:v>6402497.8230632031</c:v>
                </c:pt>
                <c:pt idx="21">
                  <c:v>6510466.7273475304</c:v>
                </c:pt>
                <c:pt idx="22">
                  <c:v>6620702.9786218284</c:v>
                </c:pt>
                <c:pt idx="23">
                  <c:v>6733254.1911728866</c:v>
                </c:pt>
                <c:pt idx="24">
                  <c:v>6848168.9791875174</c:v>
                </c:pt>
                <c:pt idx="25">
                  <c:v>6965496.977750456</c:v>
                </c:pt>
              </c:numCache>
            </c:numRef>
          </c:val>
          <c:extLst>
            <c:ext xmlns:c16="http://schemas.microsoft.com/office/drawing/2014/chart" uri="{C3380CC4-5D6E-409C-BE32-E72D297353CC}">
              <c16:uniqueId val="{00000005-3ECC-4A09-825E-A403D684D295}"/>
            </c:ext>
          </c:extLst>
        </c:ser>
        <c:ser>
          <c:idx val="7"/>
          <c:order val="4"/>
          <c:tx>
            <c:strRef>
              <c:f>'7. Lüderitz Scenarios'!$U$33</c:f>
              <c:strCache>
                <c:ptCount val="1"/>
                <c:pt idx="0">
                  <c:v>Scenario 5b</c:v>
                </c:pt>
              </c:strCache>
            </c:strRef>
          </c:tx>
          <c:spPr>
            <a:solidFill>
              <a:schemeClr val="accent2">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Scenarios'!$U$34:$U$59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6330881.6188485194</c:v>
                </c:pt>
                <c:pt idx="18">
                  <c:v>6437346.5828443393</c:v>
                </c:pt>
                <c:pt idx="19">
                  <c:v>6546047.3110840702</c:v>
                </c:pt>
                <c:pt idx="20">
                  <c:v>6657030.7546168352</c:v>
                </c:pt>
                <c:pt idx="21">
                  <c:v>6770344.850463788</c:v>
                </c:pt>
                <c:pt idx="22">
                  <c:v>6886038.5423235279</c:v>
                </c:pt>
                <c:pt idx="23">
                  <c:v>7004161.8017123211</c:v>
                </c:pt>
                <c:pt idx="24">
                  <c:v>7124765.6495482801</c:v>
                </c:pt>
                <c:pt idx="25">
                  <c:v>7247902.1781887943</c:v>
                </c:pt>
              </c:numCache>
            </c:numRef>
          </c:val>
          <c:extLst>
            <c:ext xmlns:c16="http://schemas.microsoft.com/office/drawing/2014/chart" uri="{C3380CC4-5D6E-409C-BE32-E72D297353CC}">
              <c16:uniqueId val="{00000007-3ECC-4A09-825E-A403D684D295}"/>
            </c:ext>
          </c:extLst>
        </c:ser>
        <c:dLbls>
          <c:showLegendKey val="0"/>
          <c:showVal val="0"/>
          <c:showCatName val="0"/>
          <c:showSerName val="0"/>
          <c:showPercent val="0"/>
          <c:showBubbleSize val="0"/>
        </c:dLbls>
        <c:gapWidth val="219"/>
        <c:axId val="965504624"/>
        <c:axId val="965514704"/>
      </c:barChart>
      <c:lineChart>
        <c:grouping val="standard"/>
        <c:varyColors val="0"/>
        <c:ser>
          <c:idx val="8"/>
          <c:order val="5"/>
          <c:tx>
            <c:strRef>
              <c:f>'7. Lüderitz Scenarios'!$C$33</c:f>
              <c:strCache>
                <c:ptCount val="1"/>
                <c:pt idx="0">
                  <c:v>2024 Demand Growth Rate</c:v>
                </c:pt>
              </c:strCache>
            </c:strRef>
          </c:tx>
          <c:spPr>
            <a:ln w="28575" cap="rnd">
              <a:solidFill>
                <a:schemeClr val="accent3">
                  <a:lumMod val="60000"/>
                </a:schemeClr>
              </a:solidFill>
              <a:round/>
            </a:ln>
            <a:effectLst/>
          </c:spPr>
          <c:marker>
            <c:symbol val="none"/>
          </c:marker>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Scenarios'!$C$34:$C$59</c:f>
              <c:numCache>
                <c:formatCode>#,##0</c:formatCode>
                <c:ptCount val="26"/>
                <c:pt idx="0">
                  <c:v>1179534</c:v>
                </c:pt>
                <c:pt idx="1">
                  <c:v>1215409.7039999999</c:v>
                </c:pt>
                <c:pt idx="2">
                  <c:v>1253921.5162559999</c:v>
                </c:pt>
                <c:pt idx="3">
                  <c:v>1295279.3896362239</c:v>
                </c:pt>
                <c:pt idx="4">
                  <c:v>1339710.0694951848</c:v>
                </c:pt>
                <c:pt idx="5">
                  <c:v>1387458.4370576148</c:v>
                </c:pt>
                <c:pt idx="6">
                  <c:v>1438788.9602730507</c:v>
                </c:pt>
                <c:pt idx="7">
                  <c:v>1493987.2607387244</c:v>
                </c:pt>
                <c:pt idx="8">
                  <c:v>1553361.8059762276</c:v>
                </c:pt>
                <c:pt idx="9">
                  <c:v>1617245.7370902444</c:v>
                </c:pt>
                <c:pt idx="10">
                  <c:v>1685998.8426399264</c:v>
                </c:pt>
                <c:pt idx="11">
                  <c:v>1760009.6904199128</c:v>
                </c:pt>
                <c:pt idx="12">
                  <c:v>1839697.9297837731</c:v>
                </c:pt>
                <c:pt idx="13">
                  <c:v>1925516.7781532635</c:v>
                </c:pt>
                <c:pt idx="14">
                  <c:v>2017955.7064482602</c:v>
                </c:pt>
                <c:pt idx="15">
                  <c:v>2117543.3393510277</c:v>
                </c:pt>
                <c:pt idx="16">
                  <c:v>2224850.5875915643</c:v>
                </c:pt>
                <c:pt idx="17">
                  <c:v>2340494.0308157131</c:v>
                </c:pt>
                <c:pt idx="18">
                  <c:v>2465139.5710826614</c:v>
                </c:pt>
                <c:pt idx="19">
                  <c:v>2599506.3786421726</c:v>
                </c:pt>
                <c:pt idx="20">
                  <c:v>2744371.1533739362</c:v>
                </c:pt>
                <c:pt idx="21">
                  <c:v>2900572.727142002</c:v>
                </c:pt>
                <c:pt idx="22">
                  <c:v>3069017.0343375062</c:v>
                </c:pt>
                <c:pt idx="23">
                  <c:v>3250682.4800647469</c:v>
                </c:pt>
                <c:pt idx="24">
                  <c:v>3446625.7377820881</c:v>
                </c:pt>
                <c:pt idx="25">
                  <c:v>3657988.0107540651</c:v>
                </c:pt>
              </c:numCache>
            </c:numRef>
          </c:val>
          <c:smooth val="0"/>
          <c:extLst>
            <c:ext xmlns:c16="http://schemas.microsoft.com/office/drawing/2014/chart" uri="{C3380CC4-5D6E-409C-BE32-E72D297353CC}">
              <c16:uniqueId val="{00000008-3ECC-4A09-825E-A403D684D295}"/>
            </c:ext>
          </c:extLst>
        </c:ser>
        <c:ser>
          <c:idx val="9"/>
          <c:order val="6"/>
          <c:tx>
            <c:v>Current total demand</c:v>
          </c:tx>
          <c:spPr>
            <a:ln w="28575" cap="rnd">
              <a:solidFill>
                <a:schemeClr val="accent4">
                  <a:lumMod val="60000"/>
                </a:schemeClr>
              </a:solidFill>
              <a:round/>
            </a:ln>
            <a:effectLst/>
          </c:spPr>
          <c:marker>
            <c:symbol val="none"/>
          </c:marker>
          <c:val>
            <c:numRef>
              <c:f>'7. Lüderitz Scenarios'!$W$34:$W$59</c:f>
              <c:numCache>
                <c:formatCode>#,##0</c:formatCode>
                <c:ptCount val="26"/>
                <c:pt idx="0">
                  <c:v>1146100</c:v>
                </c:pt>
                <c:pt idx="1">
                  <c:v>1146100</c:v>
                </c:pt>
                <c:pt idx="2">
                  <c:v>1146100</c:v>
                </c:pt>
                <c:pt idx="3">
                  <c:v>1146100</c:v>
                </c:pt>
                <c:pt idx="4">
                  <c:v>1146100</c:v>
                </c:pt>
                <c:pt idx="5">
                  <c:v>1146100</c:v>
                </c:pt>
                <c:pt idx="6">
                  <c:v>1146100</c:v>
                </c:pt>
                <c:pt idx="7">
                  <c:v>1146100</c:v>
                </c:pt>
                <c:pt idx="8">
                  <c:v>1146100</c:v>
                </c:pt>
                <c:pt idx="9">
                  <c:v>1146100</c:v>
                </c:pt>
                <c:pt idx="10">
                  <c:v>1146100</c:v>
                </c:pt>
                <c:pt idx="11">
                  <c:v>1146100</c:v>
                </c:pt>
                <c:pt idx="12">
                  <c:v>1146100</c:v>
                </c:pt>
                <c:pt idx="13">
                  <c:v>1146100</c:v>
                </c:pt>
                <c:pt idx="14">
                  <c:v>1146100</c:v>
                </c:pt>
                <c:pt idx="15">
                  <c:v>1146100</c:v>
                </c:pt>
                <c:pt idx="16">
                  <c:v>1146100</c:v>
                </c:pt>
                <c:pt idx="17">
                  <c:v>1146100</c:v>
                </c:pt>
                <c:pt idx="18">
                  <c:v>1146100</c:v>
                </c:pt>
                <c:pt idx="19">
                  <c:v>1146100</c:v>
                </c:pt>
                <c:pt idx="20">
                  <c:v>1146100</c:v>
                </c:pt>
                <c:pt idx="21">
                  <c:v>1146100</c:v>
                </c:pt>
                <c:pt idx="22">
                  <c:v>1146100</c:v>
                </c:pt>
                <c:pt idx="23">
                  <c:v>1146100</c:v>
                </c:pt>
                <c:pt idx="24">
                  <c:v>1146100</c:v>
                </c:pt>
                <c:pt idx="25">
                  <c:v>1146100</c:v>
                </c:pt>
              </c:numCache>
            </c:numRef>
          </c:val>
          <c:smooth val="0"/>
          <c:extLst>
            <c:ext xmlns:c16="http://schemas.microsoft.com/office/drawing/2014/chart" uri="{C3380CC4-5D6E-409C-BE32-E72D297353CC}">
              <c16:uniqueId val="{00000009-3ECC-4A09-825E-A403D684D295}"/>
            </c:ext>
          </c:extLst>
        </c:ser>
        <c:dLbls>
          <c:showLegendKey val="0"/>
          <c:showVal val="0"/>
          <c:showCatName val="0"/>
          <c:showSerName val="0"/>
          <c:showPercent val="0"/>
          <c:showBubbleSize val="0"/>
        </c:dLbls>
        <c:marker val="1"/>
        <c:smooth val="0"/>
        <c:axId val="965504624"/>
        <c:axId val="965514704"/>
      </c:lineChart>
      <c:catAx>
        <c:axId val="965504624"/>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14704"/>
        <c:crosses val="autoZero"/>
        <c:auto val="1"/>
        <c:lblAlgn val="ctr"/>
        <c:lblOffset val="100"/>
        <c:noMultiLvlLbl val="0"/>
      </c:catAx>
      <c:valAx>
        <c:axId val="965514704"/>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Water Demand [m</a:t>
                </a:r>
                <a:r>
                  <a:rPr lang="en-US" baseline="30000"/>
                  <a:t>3</a:t>
                </a:r>
                <a:r>
                  <a:rPr lang="en-US"/>
                  <a:t>/year]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0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de-DE" b="1"/>
              <a:t>Figure 4: Unmet</a:t>
            </a:r>
            <a:r>
              <a:rPr lang="de-DE" b="1" baseline="0"/>
              <a:t> Water Demand (Domestic + Non-Hydrogen Industrial) with Various Desalination Plant Capacities</a:t>
            </a:r>
            <a:endParaRPr lang="de-DE" b="1"/>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v>Scenarios 1 + 3a</c:v>
          </c:tx>
          <c:spPr>
            <a:ln w="28575" cap="rnd">
              <a:solidFill>
                <a:schemeClr val="accent1"/>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Scenarios'!$N$34:$N$59</c:f>
              <c:numCache>
                <c:formatCode>#,##0</c:formatCode>
                <c:ptCount val="26"/>
                <c:pt idx="0">
                  <c:v>1216618</c:v>
                </c:pt>
                <c:pt idx="1">
                  <c:v>1704571.7128571428</c:v>
                </c:pt>
                <c:pt idx="2">
                  <c:v>1759312.4338271427</c:v>
                </c:pt>
                <c:pt idx="3">
                  <c:v>1803302.2499375129</c:v>
                </c:pt>
                <c:pt idx="4">
                  <c:v>1826578.6521862005</c:v>
                </c:pt>
                <c:pt idx="5">
                  <c:v>1883858.1588821108</c:v>
                </c:pt>
                <c:pt idx="6">
                  <c:v>2363373.0930757779</c:v>
                </c:pt>
                <c:pt idx="7">
                  <c:v>2392170.5780303692</c:v>
                </c:pt>
                <c:pt idx="8">
                  <c:v>2421572.8101690067</c:v>
                </c:pt>
                <c:pt idx="9">
                  <c:v>2906729.5520396992</c:v>
                </c:pt>
                <c:pt idx="10">
                  <c:v>2941287.3226325326</c:v>
                </c:pt>
                <c:pt idx="11">
                  <c:v>2976570.8064078158</c:v>
                </c:pt>
                <c:pt idx="12">
                  <c:v>3012595.24334238</c:v>
                </c:pt>
                <c:pt idx="13">
                  <c:v>3049376.1934525706</c:v>
                </c:pt>
                <c:pt idx="14">
                  <c:v>3086929.5435150745</c:v>
                </c:pt>
                <c:pt idx="15">
                  <c:v>3125271.5139288912</c:v>
                </c:pt>
                <c:pt idx="16">
                  <c:v>3164418.6657213978</c:v>
                </c:pt>
                <c:pt idx="17">
                  <c:v>3204387.9077015473</c:v>
                </c:pt>
                <c:pt idx="18">
                  <c:v>3245196.5037632799</c:v>
                </c:pt>
                <c:pt idx="19">
                  <c:v>3286862.0803423086</c:v>
                </c:pt>
                <c:pt idx="20">
                  <c:v>3329402.6340294969</c:v>
                </c:pt>
                <c:pt idx="21">
                  <c:v>3372836.5393441161</c:v>
                </c:pt>
                <c:pt idx="22">
                  <c:v>3417182.5566703426</c:v>
                </c:pt>
                <c:pt idx="23">
                  <c:v>3462459.8403604198</c:v>
                </c:pt>
                <c:pt idx="24">
                  <c:v>3508687.9470079886</c:v>
                </c:pt>
                <c:pt idx="25">
                  <c:v>3555886.8438951564</c:v>
                </c:pt>
              </c:numCache>
            </c:numRef>
          </c:val>
          <c:smooth val="0"/>
          <c:extLst>
            <c:ext xmlns:c16="http://schemas.microsoft.com/office/drawing/2014/chart" uri="{C3380CC4-5D6E-409C-BE32-E72D297353CC}">
              <c16:uniqueId val="{00000000-0F5B-4830-9362-892A94339D02}"/>
            </c:ext>
          </c:extLst>
        </c:ser>
        <c:ser>
          <c:idx val="1"/>
          <c:order val="1"/>
          <c:tx>
            <c:v>Scenarios 2 + 4a</c:v>
          </c:tx>
          <c:spPr>
            <a:ln w="28575" cap="rnd">
              <a:solidFill>
                <a:schemeClr val="accent2"/>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Scenarios'!$O$34:$O$59</c:f>
              <c:numCache>
                <c:formatCode>#,##0</c:formatCode>
                <c:ptCount val="26"/>
                <c:pt idx="0">
                  <c:v>1216618</c:v>
                </c:pt>
                <c:pt idx="1">
                  <c:v>1704571.7128571428</c:v>
                </c:pt>
                <c:pt idx="2">
                  <c:v>1759312.4338271427</c:v>
                </c:pt>
                <c:pt idx="3">
                  <c:v>1803302.2499375129</c:v>
                </c:pt>
                <c:pt idx="4">
                  <c:v>1826578.6521862005</c:v>
                </c:pt>
                <c:pt idx="5">
                  <c:v>2641160.1588821108</c:v>
                </c:pt>
                <c:pt idx="6">
                  <c:v>3136578.4350757776</c:v>
                </c:pt>
                <c:pt idx="7">
                  <c:v>3181613.2322123693</c:v>
                </c:pt>
                <c:pt idx="8">
                  <c:v>3227593.7600888284</c:v>
                </c:pt>
                <c:pt idx="9">
                  <c:v>3729676.9419078371</c:v>
                </c:pt>
                <c:pt idx="10">
                  <c:v>3781516.6076879017</c:v>
                </c:pt>
                <c:pt idx="11">
                  <c:v>3834444.9064493477</c:v>
                </c:pt>
                <c:pt idx="12">
                  <c:v>3888484.6994847837</c:v>
                </c:pt>
                <c:pt idx="13">
                  <c:v>3943659.3281739643</c:v>
                </c:pt>
                <c:pt idx="14">
                  <c:v>3999992.6240656176</c:v>
                </c:pt>
                <c:pt idx="15">
                  <c:v>4057508.9191709957</c:v>
                </c:pt>
                <c:pt idx="16">
                  <c:v>4116233.0564735867</c:v>
                </c:pt>
                <c:pt idx="17">
                  <c:v>4176190.4006595318</c:v>
                </c:pt>
                <c:pt idx="18">
                  <c:v>4237406.8490733821</c:v>
                </c:pt>
                <c:pt idx="19">
                  <c:v>4299908.8429039232</c:v>
                </c:pt>
                <c:pt idx="20">
                  <c:v>4363723.3786049057</c:v>
                </c:pt>
                <c:pt idx="21">
                  <c:v>4428878.0195556087</c:v>
                </c:pt>
                <c:pt idx="22">
                  <c:v>4495400.9079662766</c:v>
                </c:pt>
                <c:pt idx="23">
                  <c:v>4563320.7770335674</c:v>
                </c:pt>
                <c:pt idx="24">
                  <c:v>4632666.9633512739</c:v>
                </c:pt>
                <c:pt idx="25">
                  <c:v>4703469.4195816498</c:v>
                </c:pt>
              </c:numCache>
            </c:numRef>
          </c:val>
          <c:smooth val="0"/>
          <c:extLst>
            <c:ext xmlns:c16="http://schemas.microsoft.com/office/drawing/2014/chart" uri="{C3380CC4-5D6E-409C-BE32-E72D297353CC}">
              <c16:uniqueId val="{00000001-0F5B-4830-9362-892A94339D02}"/>
            </c:ext>
          </c:extLst>
        </c:ser>
        <c:ser>
          <c:idx val="3"/>
          <c:order val="2"/>
          <c:tx>
            <c:strRef>
              <c:f>'7. Lüderitz Scenarios'!$Q$33</c:f>
              <c:strCache>
                <c:ptCount val="1"/>
                <c:pt idx="0">
                  <c:v>Scenario 3b</c:v>
                </c:pt>
              </c:strCache>
            </c:strRef>
          </c:tx>
          <c:spPr>
            <a:ln w="28575" cap="rnd">
              <a:solidFill>
                <a:schemeClr val="accent4"/>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Scenarios'!$Q$34:$Q$59</c:f>
              <c:numCache>
                <c:formatCode>#,##0</c:formatCode>
                <c:ptCount val="26"/>
                <c:pt idx="0">
                  <c:v>1216618</c:v>
                </c:pt>
                <c:pt idx="1">
                  <c:v>1704571.7128571428</c:v>
                </c:pt>
                <c:pt idx="2">
                  <c:v>2955052.4338271427</c:v>
                </c:pt>
                <c:pt idx="3">
                  <c:v>3024152.7899375129</c:v>
                </c:pt>
                <c:pt idx="4">
                  <c:v>3073067.0535262008</c:v>
                </c:pt>
                <c:pt idx="5">
                  <c:v>3156522.8166502509</c:v>
                </c:pt>
                <c:pt idx="6">
                  <c:v>3662763.7086570486</c:v>
                </c:pt>
                <c:pt idx="7">
                  <c:v>3718848.3965388467</c:v>
                </c:pt>
                <c:pt idx="8">
                  <c:v>3776110.8628661628</c:v>
                </c:pt>
                <c:pt idx="9">
                  <c:v>3333120.903843496</c:v>
                </c:pt>
                <c:pt idx="10">
                  <c:v>3376632.8928242093</c:v>
                </c:pt>
                <c:pt idx="11">
                  <c:v>3421058.6335735177</c:v>
                </c:pt>
                <c:pt idx="12">
                  <c:v>3466417.3148785615</c:v>
                </c:pt>
                <c:pt idx="13">
                  <c:v>3512728.5284910114</c:v>
                </c:pt>
                <c:pt idx="14">
                  <c:v>3560012.2775893225</c:v>
                </c:pt>
                <c:pt idx="15">
                  <c:v>3608288.9854186983</c:v>
                </c:pt>
                <c:pt idx="16">
                  <c:v>3657579.5041124909</c:v>
                </c:pt>
                <c:pt idx="17">
                  <c:v>3707905.123698853</c:v>
                </c:pt>
                <c:pt idx="18">
                  <c:v>3759287.5812965292</c:v>
                </c:pt>
                <c:pt idx="19">
                  <c:v>3811749.0705037559</c:v>
                </c:pt>
                <c:pt idx="20">
                  <c:v>3865312.2509843353</c:v>
                </c:pt>
                <c:pt idx="21">
                  <c:v>3920000.2582550063</c:v>
                </c:pt>
                <c:pt idx="22">
                  <c:v>3975836.7136783614</c:v>
                </c:pt>
                <c:pt idx="23">
                  <c:v>4032845.7346656066</c:v>
                </c:pt>
                <c:pt idx="24">
                  <c:v>4091051.9450935847</c:v>
                </c:pt>
                <c:pt idx="25">
                  <c:v>4150480.4859405495</c:v>
                </c:pt>
              </c:numCache>
            </c:numRef>
          </c:val>
          <c:smooth val="0"/>
          <c:extLst>
            <c:ext xmlns:c16="http://schemas.microsoft.com/office/drawing/2014/chart" uri="{C3380CC4-5D6E-409C-BE32-E72D297353CC}">
              <c16:uniqueId val="{00000002-0F5B-4830-9362-892A94339D02}"/>
            </c:ext>
          </c:extLst>
        </c:ser>
        <c:ser>
          <c:idx val="5"/>
          <c:order val="3"/>
          <c:tx>
            <c:v>Scenarios 4b + 5a</c:v>
          </c:tx>
          <c:spPr>
            <a:ln w="28575" cap="rnd">
              <a:solidFill>
                <a:schemeClr val="accent6"/>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Scenarios'!$S$34:$S$59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6091733.6188485157</c:v>
                </c:pt>
                <c:pt idx="18">
                  <c:v>6193176.4748443346</c:v>
                </c:pt>
                <c:pt idx="19">
                  <c:v>6296749.6308160657</c:v>
                </c:pt>
                <c:pt idx="20">
                  <c:v>6402497.8230632031</c:v>
                </c:pt>
                <c:pt idx="21">
                  <c:v>6510466.7273475304</c:v>
                </c:pt>
                <c:pt idx="22">
                  <c:v>6620702.9786218284</c:v>
                </c:pt>
                <c:pt idx="23">
                  <c:v>6733254.1911728866</c:v>
                </c:pt>
                <c:pt idx="24">
                  <c:v>6848168.9791875174</c:v>
                </c:pt>
                <c:pt idx="25">
                  <c:v>6965496.977750456</c:v>
                </c:pt>
              </c:numCache>
            </c:numRef>
          </c:val>
          <c:smooth val="0"/>
          <c:extLst>
            <c:ext xmlns:c16="http://schemas.microsoft.com/office/drawing/2014/chart" uri="{C3380CC4-5D6E-409C-BE32-E72D297353CC}">
              <c16:uniqueId val="{00000003-0F5B-4830-9362-892A94339D02}"/>
            </c:ext>
          </c:extLst>
        </c:ser>
        <c:ser>
          <c:idx val="7"/>
          <c:order val="4"/>
          <c:tx>
            <c:strRef>
              <c:f>'7. Lüderitz Scenarios'!$U$33</c:f>
              <c:strCache>
                <c:ptCount val="1"/>
                <c:pt idx="0">
                  <c:v>Scenario 5b</c:v>
                </c:pt>
              </c:strCache>
            </c:strRef>
          </c:tx>
          <c:spPr>
            <a:ln w="28575" cap="rnd">
              <a:solidFill>
                <a:schemeClr val="accent2">
                  <a:lumMod val="60000"/>
                </a:schemeClr>
              </a:solidFill>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Scenarios'!$U$34:$U$59</c:f>
              <c:numCache>
                <c:formatCode>#,##0</c:formatCode>
                <c:ptCount val="26"/>
                <c:pt idx="0">
                  <c:v>1216618</c:v>
                </c:pt>
                <c:pt idx="1">
                  <c:v>1704571.7128571428</c:v>
                </c:pt>
                <c:pt idx="2">
                  <c:v>2955052.4338271427</c:v>
                </c:pt>
                <c:pt idx="3">
                  <c:v>3024152.7899375129</c:v>
                </c:pt>
                <c:pt idx="4">
                  <c:v>3073067.0535262008</c:v>
                </c:pt>
                <c:pt idx="5">
                  <c:v>3913824.8166502505</c:v>
                </c:pt>
                <c:pt idx="6">
                  <c:v>4435969.0506570488</c:v>
                </c:pt>
                <c:pt idx="7">
                  <c:v>4508291.0507208472</c:v>
                </c:pt>
                <c:pt idx="8">
                  <c:v>4582131.8127859849</c:v>
                </c:pt>
                <c:pt idx="9">
                  <c:v>5351808.2937116353</c:v>
                </c:pt>
                <c:pt idx="10">
                  <c:v>5437712.7178795794</c:v>
                </c:pt>
                <c:pt idx="11">
                  <c:v>5525421.1349550504</c:v>
                </c:pt>
                <c:pt idx="12">
                  <c:v>5614971.4287891071</c:v>
                </c:pt>
                <c:pt idx="13">
                  <c:v>5706402.2787936777</c:v>
                </c:pt>
                <c:pt idx="14">
                  <c:v>5799753.1766483458</c:v>
                </c:pt>
                <c:pt idx="15">
                  <c:v>5895064.4433579603</c:v>
                </c:pt>
                <c:pt idx="16">
                  <c:v>5992377.2466684775</c:v>
                </c:pt>
                <c:pt idx="17">
                  <c:v>6330881.6188485194</c:v>
                </c:pt>
                <c:pt idx="18">
                  <c:v>6437346.5828443393</c:v>
                </c:pt>
                <c:pt idx="19">
                  <c:v>6546047.3110840702</c:v>
                </c:pt>
                <c:pt idx="20">
                  <c:v>6657030.7546168352</c:v>
                </c:pt>
                <c:pt idx="21">
                  <c:v>6770344.850463788</c:v>
                </c:pt>
                <c:pt idx="22">
                  <c:v>6886038.5423235279</c:v>
                </c:pt>
                <c:pt idx="23">
                  <c:v>7004161.8017123211</c:v>
                </c:pt>
                <c:pt idx="24">
                  <c:v>7124765.6495482801</c:v>
                </c:pt>
                <c:pt idx="25">
                  <c:v>7247902.1781887943</c:v>
                </c:pt>
              </c:numCache>
            </c:numRef>
          </c:val>
          <c:smooth val="0"/>
          <c:extLst>
            <c:ext xmlns:c16="http://schemas.microsoft.com/office/drawing/2014/chart" uri="{C3380CC4-5D6E-409C-BE32-E72D297353CC}">
              <c16:uniqueId val="{00000004-0F5B-4830-9362-892A94339D02}"/>
            </c:ext>
          </c:extLst>
        </c:ser>
        <c:ser>
          <c:idx val="2"/>
          <c:order val="5"/>
          <c:tx>
            <c:strRef>
              <c:f>'7. Lüderitz Scenarios'!$I$64</c:f>
              <c:strCache>
                <c:ptCount val="1"/>
                <c:pt idx="0">
                  <c:v>Initial Option 1: 2035 Scenario 2</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Scenarios'!$I$65:$I$88</c:f>
              <c:numCache>
                <c:formatCode>#,##0</c:formatCode>
                <c:ptCount val="24"/>
                <c:pt idx="0">
                  <c:v>3800000</c:v>
                </c:pt>
                <c:pt idx="1">
                  <c:v>3800000</c:v>
                </c:pt>
                <c:pt idx="2">
                  <c:v>3800000</c:v>
                </c:pt>
                <c:pt idx="3">
                  <c:v>3800000</c:v>
                </c:pt>
                <c:pt idx="4">
                  <c:v>3800000</c:v>
                </c:pt>
                <c:pt idx="5">
                  <c:v>3800000</c:v>
                </c:pt>
                <c:pt idx="6">
                  <c:v>3800000</c:v>
                </c:pt>
                <c:pt idx="7">
                  <c:v>3800000</c:v>
                </c:pt>
                <c:pt idx="8">
                  <c:v>3800000</c:v>
                </c:pt>
                <c:pt idx="9">
                  <c:v>3800000</c:v>
                </c:pt>
                <c:pt idx="10">
                  <c:v>3800000</c:v>
                </c:pt>
                <c:pt idx="11">
                  <c:v>3800000</c:v>
                </c:pt>
                <c:pt idx="12">
                  <c:v>3800000</c:v>
                </c:pt>
                <c:pt idx="13">
                  <c:v>3800000</c:v>
                </c:pt>
                <c:pt idx="14">
                  <c:v>3800000</c:v>
                </c:pt>
                <c:pt idx="15">
                  <c:v>3800000</c:v>
                </c:pt>
                <c:pt idx="16">
                  <c:v>3800000</c:v>
                </c:pt>
                <c:pt idx="17">
                  <c:v>3800000</c:v>
                </c:pt>
                <c:pt idx="18">
                  <c:v>3800000</c:v>
                </c:pt>
                <c:pt idx="19">
                  <c:v>3800000</c:v>
                </c:pt>
                <c:pt idx="20">
                  <c:v>3800000</c:v>
                </c:pt>
                <c:pt idx="21">
                  <c:v>3800000</c:v>
                </c:pt>
                <c:pt idx="22">
                  <c:v>3800000</c:v>
                </c:pt>
                <c:pt idx="23">
                  <c:v>3800000</c:v>
                </c:pt>
              </c:numCache>
            </c:numRef>
          </c:val>
          <c:smooth val="0"/>
          <c:extLst>
            <c:ext xmlns:c16="http://schemas.microsoft.com/office/drawing/2014/chart" uri="{C3380CC4-5D6E-409C-BE32-E72D297353CC}">
              <c16:uniqueId val="{00000007-0F5B-4830-9362-892A94339D02}"/>
            </c:ext>
          </c:extLst>
        </c:ser>
        <c:ser>
          <c:idx val="4"/>
          <c:order val="6"/>
          <c:tx>
            <c:strRef>
              <c:f>'7. Lüderitz Scenarios'!$J$64</c:f>
              <c:strCache>
                <c:ptCount val="1"/>
                <c:pt idx="0">
                  <c:v>Option 2: 2035 Scenario 5b</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Scenarios'!$J$65:$J$88</c:f>
              <c:numCache>
                <c:formatCode>#,##0</c:formatCode>
                <c:ptCount val="24"/>
                <c:pt idx="0">
                  <c:v>5500000</c:v>
                </c:pt>
                <c:pt idx="1">
                  <c:v>5500000</c:v>
                </c:pt>
                <c:pt idx="2">
                  <c:v>5500000</c:v>
                </c:pt>
                <c:pt idx="3">
                  <c:v>5500000</c:v>
                </c:pt>
                <c:pt idx="4">
                  <c:v>5500000</c:v>
                </c:pt>
                <c:pt idx="5">
                  <c:v>5500000</c:v>
                </c:pt>
                <c:pt idx="6">
                  <c:v>5500000</c:v>
                </c:pt>
                <c:pt idx="7">
                  <c:v>5500000</c:v>
                </c:pt>
                <c:pt idx="8">
                  <c:v>5500000</c:v>
                </c:pt>
                <c:pt idx="9">
                  <c:v>5500000</c:v>
                </c:pt>
                <c:pt idx="10">
                  <c:v>5500000</c:v>
                </c:pt>
                <c:pt idx="11">
                  <c:v>5500000</c:v>
                </c:pt>
                <c:pt idx="12">
                  <c:v>5500000</c:v>
                </c:pt>
                <c:pt idx="13">
                  <c:v>5500000</c:v>
                </c:pt>
                <c:pt idx="14">
                  <c:v>5500000</c:v>
                </c:pt>
                <c:pt idx="15">
                  <c:v>5500000</c:v>
                </c:pt>
                <c:pt idx="16">
                  <c:v>5500000</c:v>
                </c:pt>
                <c:pt idx="17">
                  <c:v>5500000</c:v>
                </c:pt>
                <c:pt idx="18">
                  <c:v>5500000</c:v>
                </c:pt>
                <c:pt idx="19">
                  <c:v>5500000</c:v>
                </c:pt>
                <c:pt idx="20">
                  <c:v>5500000</c:v>
                </c:pt>
                <c:pt idx="21">
                  <c:v>5500000</c:v>
                </c:pt>
                <c:pt idx="22">
                  <c:v>5500000</c:v>
                </c:pt>
                <c:pt idx="23">
                  <c:v>5500000</c:v>
                </c:pt>
              </c:numCache>
            </c:numRef>
          </c:val>
          <c:smooth val="0"/>
          <c:extLst>
            <c:ext xmlns:c16="http://schemas.microsoft.com/office/drawing/2014/chart" uri="{C3380CC4-5D6E-409C-BE32-E72D297353CC}">
              <c16:uniqueId val="{00000008-0F5B-4830-9362-892A94339D02}"/>
            </c:ext>
          </c:extLst>
        </c:ser>
        <c:ser>
          <c:idx val="6"/>
          <c:order val="7"/>
          <c:tx>
            <c:strRef>
              <c:f>'7. Lüderitz Scenarios'!$K$64</c:f>
              <c:strCache>
                <c:ptCount val="1"/>
                <c:pt idx="0">
                  <c:v>Expansion Option 1: 2045 Scenario 2</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Scenarios'!$K$65:$K$88</c:f>
              <c:numCache>
                <c:formatCode>#,##0</c:formatCode>
                <c:ptCount val="24"/>
                <c:pt idx="0">
                  <c:v>4400000</c:v>
                </c:pt>
                <c:pt idx="1">
                  <c:v>4400000</c:v>
                </c:pt>
                <c:pt idx="2">
                  <c:v>4400000</c:v>
                </c:pt>
                <c:pt idx="3">
                  <c:v>4400000</c:v>
                </c:pt>
                <c:pt idx="4">
                  <c:v>4400000</c:v>
                </c:pt>
                <c:pt idx="5">
                  <c:v>4400000</c:v>
                </c:pt>
                <c:pt idx="6">
                  <c:v>4400000</c:v>
                </c:pt>
                <c:pt idx="7">
                  <c:v>4400000</c:v>
                </c:pt>
                <c:pt idx="8">
                  <c:v>4400000</c:v>
                </c:pt>
                <c:pt idx="9">
                  <c:v>4400000</c:v>
                </c:pt>
                <c:pt idx="10">
                  <c:v>4400000</c:v>
                </c:pt>
                <c:pt idx="11">
                  <c:v>4400000</c:v>
                </c:pt>
                <c:pt idx="12">
                  <c:v>4400000</c:v>
                </c:pt>
                <c:pt idx="13">
                  <c:v>4400000</c:v>
                </c:pt>
                <c:pt idx="14">
                  <c:v>4400000</c:v>
                </c:pt>
                <c:pt idx="15">
                  <c:v>4400000</c:v>
                </c:pt>
                <c:pt idx="16">
                  <c:v>4400000</c:v>
                </c:pt>
                <c:pt idx="17">
                  <c:v>4400000</c:v>
                </c:pt>
                <c:pt idx="18">
                  <c:v>4400000</c:v>
                </c:pt>
                <c:pt idx="19">
                  <c:v>4400000</c:v>
                </c:pt>
                <c:pt idx="20">
                  <c:v>4400000</c:v>
                </c:pt>
                <c:pt idx="21">
                  <c:v>4400000</c:v>
                </c:pt>
                <c:pt idx="22">
                  <c:v>4400000</c:v>
                </c:pt>
                <c:pt idx="23">
                  <c:v>4400000</c:v>
                </c:pt>
              </c:numCache>
            </c:numRef>
          </c:val>
          <c:smooth val="0"/>
          <c:extLst>
            <c:ext xmlns:c16="http://schemas.microsoft.com/office/drawing/2014/chart" uri="{C3380CC4-5D6E-409C-BE32-E72D297353CC}">
              <c16:uniqueId val="{00000009-0F5B-4830-9362-892A94339D02}"/>
            </c:ext>
          </c:extLst>
        </c:ser>
        <c:ser>
          <c:idx val="8"/>
          <c:order val="8"/>
          <c:tx>
            <c:strRef>
              <c:f>'7. Lüderitz Scenarios'!$L$64</c:f>
              <c:strCache>
                <c:ptCount val="1"/>
                <c:pt idx="0">
                  <c:v>Expansion Option 2: 2045 Scenario 5b</c:v>
                </c:pt>
              </c:strCache>
            </c:strRef>
          </c:tx>
          <c:spPr>
            <a:ln w="28575" cap="rnd">
              <a:solidFill>
                <a:schemeClr val="bg2">
                  <a:lumMod val="50000"/>
                </a:schemeClr>
              </a:solidFill>
              <a:prstDash val="lgDash"/>
              <a:round/>
            </a:ln>
            <a:effectLst/>
          </c:spPr>
          <c:marker>
            <c:symbol val="none"/>
          </c:marker>
          <c:cat>
            <c:numRef>
              <c:f>'7. Lüderitz Scenarios'!$H$65:$H$88</c:f>
              <c:numCache>
                <c:formatCode>General</c:formatCode>
                <c:ptCount val="24"/>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numCache>
            </c:numRef>
          </c:cat>
          <c:val>
            <c:numRef>
              <c:f>'7. Lüderitz Scenarios'!$L$65:$L$88</c:f>
              <c:numCache>
                <c:formatCode>#,##0</c:formatCode>
                <c:ptCount val="24"/>
                <c:pt idx="0">
                  <c:v>6700000</c:v>
                </c:pt>
                <c:pt idx="1">
                  <c:v>6700000</c:v>
                </c:pt>
                <c:pt idx="2">
                  <c:v>6700000</c:v>
                </c:pt>
                <c:pt idx="3">
                  <c:v>6700000</c:v>
                </c:pt>
                <c:pt idx="4">
                  <c:v>6700000</c:v>
                </c:pt>
                <c:pt idx="5">
                  <c:v>6700000</c:v>
                </c:pt>
                <c:pt idx="6">
                  <c:v>6700000</c:v>
                </c:pt>
                <c:pt idx="7">
                  <c:v>6700000</c:v>
                </c:pt>
                <c:pt idx="8">
                  <c:v>6700000</c:v>
                </c:pt>
                <c:pt idx="9">
                  <c:v>6700000</c:v>
                </c:pt>
                <c:pt idx="10">
                  <c:v>6700000</c:v>
                </c:pt>
                <c:pt idx="11">
                  <c:v>6700000</c:v>
                </c:pt>
                <c:pt idx="12">
                  <c:v>6700000</c:v>
                </c:pt>
                <c:pt idx="13">
                  <c:v>6700000</c:v>
                </c:pt>
                <c:pt idx="14">
                  <c:v>6700000</c:v>
                </c:pt>
                <c:pt idx="15">
                  <c:v>6700000</c:v>
                </c:pt>
                <c:pt idx="16">
                  <c:v>6700000</c:v>
                </c:pt>
                <c:pt idx="17">
                  <c:v>6700000</c:v>
                </c:pt>
                <c:pt idx="18">
                  <c:v>6700000</c:v>
                </c:pt>
                <c:pt idx="19">
                  <c:v>6700000</c:v>
                </c:pt>
                <c:pt idx="20">
                  <c:v>6700000</c:v>
                </c:pt>
                <c:pt idx="21">
                  <c:v>6700000</c:v>
                </c:pt>
                <c:pt idx="22">
                  <c:v>6700000</c:v>
                </c:pt>
                <c:pt idx="23">
                  <c:v>6700000</c:v>
                </c:pt>
              </c:numCache>
            </c:numRef>
          </c:val>
          <c:smooth val="0"/>
          <c:extLst>
            <c:ext xmlns:c16="http://schemas.microsoft.com/office/drawing/2014/chart" uri="{C3380CC4-5D6E-409C-BE32-E72D297353CC}">
              <c16:uniqueId val="{0000000A-0F5B-4830-9362-892A94339D02}"/>
            </c:ext>
          </c:extLst>
        </c:ser>
        <c:dLbls>
          <c:showLegendKey val="0"/>
          <c:showVal val="0"/>
          <c:showCatName val="0"/>
          <c:showSerName val="0"/>
          <c:showPercent val="0"/>
          <c:showBubbleSize val="0"/>
        </c:dLbls>
        <c:smooth val="0"/>
        <c:axId val="965504624"/>
        <c:axId val="965514704"/>
      </c:lineChart>
      <c:catAx>
        <c:axId val="965504624"/>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14704"/>
        <c:crosses val="autoZero"/>
        <c:auto val="1"/>
        <c:lblAlgn val="ctr"/>
        <c:lblOffset val="100"/>
        <c:noMultiLvlLbl val="0"/>
      </c:catAx>
      <c:valAx>
        <c:axId val="965514704"/>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Water Demand [m</a:t>
                </a:r>
                <a:r>
                  <a:rPr lang="en-US" baseline="30000"/>
                  <a:t>3</a:t>
                </a:r>
                <a:r>
                  <a:rPr lang="en-US"/>
                  <a:t>/year]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96550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 Domestic Water Demand per Scenario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Baseline Growth</c:v>
          </c:tx>
          <c:spPr>
            <a:ln w="28575" cap="rnd">
              <a:solidFill>
                <a:schemeClr val="accent1"/>
              </a:solidFill>
              <a:round/>
            </a:ln>
            <a:effectLst/>
          </c:spPr>
          <c:marker>
            <c:symbol val="none"/>
          </c:marker>
          <c:cat>
            <c:numRef>
              <c:f>'9. Aus Pop &amp; Domestic Demand'!$B$23:$B$48</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'9. Aus Pop &amp; Domestic Demand'!$N$23:$N$48</c:f>
              <c:numCache>
                <c:formatCode>#,##0</c:formatCode>
                <c:ptCount val="26"/>
                <c:pt idx="0">
                  <c:v>51785.636157500718</c:v>
                </c:pt>
                <c:pt idx="1">
                  <c:v>52355.278155233224</c:v>
                </c:pt>
                <c:pt idx="2">
                  <c:v>52931.186214940797</c:v>
                </c:pt>
                <c:pt idx="3">
                  <c:v>53513.429263305145</c:v>
                </c:pt>
                <c:pt idx="4">
                  <c:v>54102.0769852015</c:v>
                </c:pt>
                <c:pt idx="5">
                  <c:v>54697.199832038707</c:v>
                </c:pt>
                <c:pt idx="6">
                  <c:v>55298.869030191134</c:v>
                </c:pt>
                <c:pt idx="7">
                  <c:v>55907.156589523234</c:v>
                </c:pt>
                <c:pt idx="8">
                  <c:v>56522.135312007988</c:v>
                </c:pt>
                <c:pt idx="9">
                  <c:v>57143.878800440078</c:v>
                </c:pt>
                <c:pt idx="10">
                  <c:v>57772.461467244917</c:v>
                </c:pt>
                <c:pt idx="11">
                  <c:v>58407.958543384615</c:v>
                </c:pt>
                <c:pt idx="12">
                  <c:v>59050.446087361845</c:v>
                </c:pt>
                <c:pt idx="13">
                  <c:v>59700.000994322829</c:v>
                </c:pt>
                <c:pt idx="14">
                  <c:v>60356.70100526038</c:v>
                </c:pt>
                <c:pt idx="15">
                  <c:v>61020.624716318242</c:v>
                </c:pt>
                <c:pt idx="16">
                  <c:v>61691.851588197744</c:v>
                </c:pt>
                <c:pt idx="17">
                  <c:v>62370.461955667917</c:v>
                </c:pt>
                <c:pt idx="18">
                  <c:v>63056.537037180271</c:v>
                </c:pt>
                <c:pt idx="19">
                  <c:v>63750.158944589253</c:v>
                </c:pt>
                <c:pt idx="20">
                  <c:v>64451.410692979734</c:v>
                </c:pt>
                <c:pt idx="21">
                  <c:v>65160.376210602517</c:v>
                </c:pt>
                <c:pt idx="22">
                  <c:v>65877.140348919143</c:v>
                </c:pt>
                <c:pt idx="23">
                  <c:v>66601.788892757249</c:v>
                </c:pt>
                <c:pt idx="24">
                  <c:v>67334.40857057758</c:v>
                </c:pt>
                <c:pt idx="25">
                  <c:v>68075.087064853928</c:v>
                </c:pt>
              </c:numCache>
            </c:numRef>
          </c:val>
          <c:smooth val="0"/>
          <c:extLst>
            <c:ext xmlns:c16="http://schemas.microsoft.com/office/drawing/2014/chart" uri="{C3380CC4-5D6E-409C-BE32-E72D297353CC}">
              <c16:uniqueId val="{00000005-D712-4710-96E2-85D18D061690}"/>
            </c:ext>
          </c:extLst>
        </c:ser>
        <c:ser>
          <c:idx val="1"/>
          <c:order val="1"/>
          <c:tx>
            <c:v>Scenario A - (1% of Hyphens Workforce)</c:v>
          </c:tx>
          <c:spPr>
            <a:ln w="28575" cap="rnd">
              <a:solidFill>
                <a:schemeClr val="accent2"/>
              </a:solidFill>
              <a:round/>
            </a:ln>
            <a:effectLst/>
          </c:spPr>
          <c:marker>
            <c:symbol val="none"/>
          </c:marker>
          <c:val>
            <c:numRef>
              <c:f>'9. Aus Pop &amp; Domestic Demand'!$O$23:$O$48</c:f>
              <c:numCache>
                <c:formatCode>#,##0</c:formatCode>
                <c:ptCount val="26"/>
                <c:pt idx="0">
                  <c:v>53742.6</c:v>
                </c:pt>
                <c:pt idx="1">
                  <c:v>54333.768600000003</c:v>
                </c:pt>
                <c:pt idx="2">
                  <c:v>61063.440054600003</c:v>
                </c:pt>
                <c:pt idx="3">
                  <c:v>61735.137895200598</c:v>
                </c:pt>
                <c:pt idx="4">
                  <c:v>62414.224412047814</c:v>
                </c:pt>
                <c:pt idx="5">
                  <c:v>63100.780880580343</c:v>
                </c:pt>
                <c:pt idx="6">
                  <c:v>63794.889470266724</c:v>
                </c:pt>
                <c:pt idx="7">
                  <c:v>64496.633254439657</c:v>
                </c:pt>
                <c:pt idx="8">
                  <c:v>65206.096220238498</c:v>
                </c:pt>
                <c:pt idx="9">
                  <c:v>65923.363278661112</c:v>
                </c:pt>
                <c:pt idx="10">
                  <c:v>66648.520274726383</c:v>
                </c:pt>
                <c:pt idx="11">
                  <c:v>67381.653997748377</c:v>
                </c:pt>
                <c:pt idx="12">
                  <c:v>68122.852191723607</c:v>
                </c:pt>
                <c:pt idx="13">
                  <c:v>68872.203565832562</c:v>
                </c:pt>
                <c:pt idx="14">
                  <c:v>69629.797805056718</c:v>
                </c:pt>
                <c:pt idx="15">
                  <c:v>70395.725580912345</c:v>
                </c:pt>
                <c:pt idx="16">
                  <c:v>71170.078562302384</c:v>
                </c:pt>
                <c:pt idx="17">
                  <c:v>71952.949426487714</c:v>
                </c:pt>
                <c:pt idx="18">
                  <c:v>72744.431870179076</c:v>
                </c:pt>
                <c:pt idx="19">
                  <c:v>73544.62062075104</c:v>
                </c:pt>
                <c:pt idx="20">
                  <c:v>74353.611447579315</c:v>
                </c:pt>
                <c:pt idx="21">
                  <c:v>75171.501173502678</c:v>
                </c:pt>
                <c:pt idx="22">
                  <c:v>75998.38768641121</c:v>
                </c:pt>
                <c:pt idx="23">
                  <c:v>76834.369950961744</c:v>
                </c:pt>
                <c:pt idx="24">
                  <c:v>77679.548020422313</c:v>
                </c:pt>
                <c:pt idx="25">
                  <c:v>78534.023048646952</c:v>
                </c:pt>
              </c:numCache>
            </c:numRef>
          </c:val>
          <c:smooth val="0"/>
          <c:extLst>
            <c:ext xmlns:c16="http://schemas.microsoft.com/office/drawing/2014/chart" uri="{C3380CC4-5D6E-409C-BE32-E72D297353CC}">
              <c16:uniqueId val="{00000006-D712-4710-96E2-85D18D061690}"/>
            </c:ext>
          </c:extLst>
        </c:ser>
        <c:ser>
          <c:idx val="2"/>
          <c:order val="2"/>
          <c:tx>
            <c:v>Scenario B - (1% of Hyphens Workforce)</c:v>
          </c:tx>
          <c:spPr>
            <a:ln w="28575" cap="rnd">
              <a:solidFill>
                <a:schemeClr val="accent3"/>
              </a:solidFill>
              <a:round/>
            </a:ln>
            <a:effectLst/>
          </c:spPr>
          <c:marker>
            <c:symbol val="none"/>
          </c:marker>
          <c:val>
            <c:numRef>
              <c:f>'9. Aus Pop &amp; Domestic Demand'!$P$23:$P$48</c:f>
              <c:numCache>
                <c:formatCode>#,##0</c:formatCode>
                <c:ptCount val="26"/>
                <c:pt idx="0">
                  <c:v>53742.6</c:v>
                </c:pt>
                <c:pt idx="1">
                  <c:v>54333.768600000003</c:v>
                </c:pt>
                <c:pt idx="2">
                  <c:v>68912.400054600002</c:v>
                </c:pt>
                <c:pt idx="3">
                  <c:v>69670.436455200601</c:v>
                </c:pt>
                <c:pt idx="4">
                  <c:v>70436.811256207802</c:v>
                </c:pt>
                <c:pt idx="5">
                  <c:v>71211.616180026089</c:v>
                </c:pt>
                <c:pt idx="6">
                  <c:v>71994.943958006377</c:v>
                </c:pt>
                <c:pt idx="7">
                  <c:v>72786.888341544443</c:v>
                </c:pt>
                <c:pt idx="8">
                  <c:v>73587.544113301439</c:v>
                </c:pt>
                <c:pt idx="9">
                  <c:v>74397.007098547751</c:v>
                </c:pt>
                <c:pt idx="10">
                  <c:v>75215.374176631769</c:v>
                </c:pt>
                <c:pt idx="11">
                  <c:v>76042.743292574727</c:v>
                </c:pt>
                <c:pt idx="12">
                  <c:v>76879.213468793052</c:v>
                </c:pt>
                <c:pt idx="13">
                  <c:v>77724.88481694978</c:v>
                </c:pt>
                <c:pt idx="14">
                  <c:v>78579.858549936223</c:v>
                </c:pt>
                <c:pt idx="15">
                  <c:v>79444.236993985527</c:v>
                </c:pt>
                <c:pt idx="16">
                  <c:v>80318.123600919353</c:v>
                </c:pt>
                <c:pt idx="17">
                  <c:v>81201.622960529465</c:v>
                </c:pt>
                <c:pt idx="18">
                  <c:v>82094.840813095288</c:v>
                </c:pt>
                <c:pt idx="19">
                  <c:v>82997.884062039346</c:v>
                </c:pt>
                <c:pt idx="20">
                  <c:v>83910.860786721765</c:v>
                </c:pt>
                <c:pt idx="21">
                  <c:v>84833.880255375712</c:v>
                </c:pt>
                <c:pt idx="22">
                  <c:v>85767.052938184846</c:v>
                </c:pt>
                <c:pt idx="23">
                  <c:v>86710.490520504871</c:v>
                </c:pt>
                <c:pt idx="24">
                  <c:v>87664.305916230427</c:v>
                </c:pt>
                <c:pt idx="25">
                  <c:v>88628.613281308964</c:v>
                </c:pt>
              </c:numCache>
            </c:numRef>
          </c:val>
          <c:smooth val="0"/>
          <c:extLst>
            <c:ext xmlns:c16="http://schemas.microsoft.com/office/drawing/2014/chart" uri="{C3380CC4-5D6E-409C-BE32-E72D297353CC}">
              <c16:uniqueId val="{00000007-D712-4710-96E2-85D18D061690}"/>
            </c:ext>
          </c:extLst>
        </c:ser>
        <c:ser>
          <c:idx val="3"/>
          <c:order val="3"/>
          <c:tx>
            <c:v>Scenario C - (1% of Hyphens Workforce</c:v>
          </c:tx>
          <c:spPr>
            <a:ln w="28575" cap="rnd">
              <a:solidFill>
                <a:schemeClr val="accent4"/>
              </a:solidFill>
              <a:round/>
            </a:ln>
            <a:effectLst/>
          </c:spPr>
          <c:marker>
            <c:symbol val="none"/>
          </c:marker>
          <c:val>
            <c:numRef>
              <c:f>'9. Aus Pop &amp; Domestic Demand'!$Q$23:$Q$48</c:f>
              <c:numCache>
                <c:formatCode>#,##0</c:formatCode>
                <c:ptCount val="26"/>
                <c:pt idx="0">
                  <c:v>53742.6</c:v>
                </c:pt>
                <c:pt idx="1">
                  <c:v>54333.768600000003</c:v>
                </c:pt>
                <c:pt idx="2">
                  <c:v>68912.400054600002</c:v>
                </c:pt>
                <c:pt idx="3">
                  <c:v>69670.436455200601</c:v>
                </c:pt>
                <c:pt idx="4">
                  <c:v>70436.811256207802</c:v>
                </c:pt>
                <c:pt idx="5">
                  <c:v>71211.616180026089</c:v>
                </c:pt>
                <c:pt idx="6">
                  <c:v>71994.943958006377</c:v>
                </c:pt>
                <c:pt idx="7">
                  <c:v>72786.888341544443</c:v>
                </c:pt>
                <c:pt idx="8">
                  <c:v>73587.544113301439</c:v>
                </c:pt>
                <c:pt idx="9">
                  <c:v>60416.047098547751</c:v>
                </c:pt>
                <c:pt idx="10">
                  <c:v>61080.623616631776</c:v>
                </c:pt>
                <c:pt idx="11">
                  <c:v>61752.510476414725</c:v>
                </c:pt>
                <c:pt idx="12">
                  <c:v>62431.788091655289</c:v>
                </c:pt>
                <c:pt idx="13">
                  <c:v>63118.537760663501</c:v>
                </c:pt>
                <c:pt idx="14">
                  <c:v>63812.841676030795</c:v>
                </c:pt>
                <c:pt idx="15">
                  <c:v>64514.782934467126</c:v>
                </c:pt>
                <c:pt idx="16">
                  <c:v>65224.445546746269</c:v>
                </c:pt>
                <c:pt idx="17">
                  <c:v>65941.914447760471</c:v>
                </c:pt>
                <c:pt idx="18">
                  <c:v>66667.275506685837</c:v>
                </c:pt>
                <c:pt idx="19">
                  <c:v>67400.615537259393</c:v>
                </c:pt>
                <c:pt idx="20">
                  <c:v>68142.022308169238</c:v>
                </c:pt>
                <c:pt idx="21">
                  <c:v>68891.584553559107</c:v>
                </c:pt>
                <c:pt idx="22">
                  <c:v>69649.391983648253</c:v>
                </c:pt>
                <c:pt idx="23">
                  <c:v>70415.535295468377</c:v>
                </c:pt>
                <c:pt idx="24">
                  <c:v>71190.106183718541</c:v>
                </c:pt>
                <c:pt idx="25">
                  <c:v>71973.197351739451</c:v>
                </c:pt>
              </c:numCache>
            </c:numRef>
          </c:val>
          <c:smooth val="0"/>
          <c:extLst>
            <c:ext xmlns:c16="http://schemas.microsoft.com/office/drawing/2014/chart" uri="{C3380CC4-5D6E-409C-BE32-E72D297353CC}">
              <c16:uniqueId val="{00000008-D712-4710-96E2-85D18D061690}"/>
            </c:ext>
          </c:extLst>
        </c:ser>
        <c:dLbls>
          <c:showLegendKey val="0"/>
          <c:showVal val="0"/>
          <c:showCatName val="0"/>
          <c:showSerName val="0"/>
          <c:showPercent val="0"/>
          <c:showBubbleSize val="0"/>
        </c:dLbls>
        <c:smooth val="0"/>
        <c:axId val="566987584"/>
        <c:axId val="566989504"/>
      </c:lineChart>
      <c:catAx>
        <c:axId val="566987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6989504"/>
        <c:crosses val="autoZero"/>
        <c:auto val="1"/>
        <c:lblAlgn val="ctr"/>
        <c:lblOffset val="100"/>
        <c:tickLblSkip val="2"/>
        <c:noMultiLvlLbl val="0"/>
      </c:catAx>
      <c:valAx>
        <c:axId val="5669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Domest</a:t>
                </a:r>
                <a:r>
                  <a:rPr lang="de-DE" baseline="0"/>
                  <a:t>ic Water Demand [m³/y]</a:t>
                </a:r>
                <a:endParaRPr lang="de-D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6987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Total Water</a:t>
            </a:r>
            <a:r>
              <a:rPr lang="en-US" b="1" baseline="0"/>
              <a:t> Demand for Aus from 2025 - 2025 - different scenarios</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Baseline Growth</c:v>
          </c:tx>
          <c:spPr>
            <a:ln w="28575" cap="rnd">
              <a:solidFill>
                <a:schemeClr val="accent1"/>
              </a:solidFill>
              <a:round/>
            </a:ln>
            <a:effectLst/>
          </c:spPr>
          <c:marker>
            <c:symbol val="none"/>
          </c:marker>
          <c:cat>
            <c:numRef>
              <c:f>'10. Aus Total Demand'!$B$30:$B$55</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'10. Aus Total Demand'!$H$30:$H$55</c:f>
              <c:numCache>
                <c:formatCode>#,##0</c:formatCode>
                <c:ptCount val="26"/>
                <c:pt idx="0">
                  <c:v>64422.5</c:v>
                </c:pt>
                <c:pt idx="1">
                  <c:v>64992.141997732499</c:v>
                </c:pt>
                <c:pt idx="2">
                  <c:v>65568.050057440079</c:v>
                </c:pt>
                <c:pt idx="3">
                  <c:v>66150.29310580442</c:v>
                </c:pt>
                <c:pt idx="4">
                  <c:v>66738.940827700775</c:v>
                </c:pt>
                <c:pt idx="5">
                  <c:v>67334.063674537989</c:v>
                </c:pt>
                <c:pt idx="6">
                  <c:v>67935.732872690409</c:v>
                </c:pt>
                <c:pt idx="7">
                  <c:v>68544.020432022517</c:v>
                </c:pt>
                <c:pt idx="8">
                  <c:v>69158.99915450727</c:v>
                </c:pt>
                <c:pt idx="9">
                  <c:v>69780.742642939353</c:v>
                </c:pt>
                <c:pt idx="10">
                  <c:v>70409.325309744192</c:v>
                </c:pt>
                <c:pt idx="11">
                  <c:v>71044.82238588389</c:v>
                </c:pt>
                <c:pt idx="12">
                  <c:v>71687.30992986112</c:v>
                </c:pt>
                <c:pt idx="13">
                  <c:v>72336.864836822104</c:v>
                </c:pt>
                <c:pt idx="14">
                  <c:v>72993.564847759655</c:v>
                </c:pt>
                <c:pt idx="15">
                  <c:v>73657.488558817524</c:v>
                </c:pt>
                <c:pt idx="16">
                  <c:v>74328.715430697019</c:v>
                </c:pt>
                <c:pt idx="17">
                  <c:v>75007.325798167192</c:v>
                </c:pt>
                <c:pt idx="18">
                  <c:v>75693.400879679553</c:v>
                </c:pt>
                <c:pt idx="19">
                  <c:v>76387.022787088528</c:v>
                </c:pt>
                <c:pt idx="20">
                  <c:v>77088.27453547901</c:v>
                </c:pt>
                <c:pt idx="21">
                  <c:v>77797.240053101792</c:v>
                </c:pt>
                <c:pt idx="22">
                  <c:v>78514.004191418426</c:v>
                </c:pt>
                <c:pt idx="23">
                  <c:v>79238.652735256532</c:v>
                </c:pt>
                <c:pt idx="24">
                  <c:v>79971.272413076862</c:v>
                </c:pt>
                <c:pt idx="25">
                  <c:v>80711.95090735321</c:v>
                </c:pt>
              </c:numCache>
            </c:numRef>
          </c:val>
          <c:smooth val="0"/>
          <c:extLst>
            <c:ext xmlns:c16="http://schemas.microsoft.com/office/drawing/2014/chart" uri="{C3380CC4-5D6E-409C-BE32-E72D297353CC}">
              <c16:uniqueId val="{00000000-DEAE-4753-A49F-0B7D01A06682}"/>
            </c:ext>
          </c:extLst>
        </c:ser>
        <c:ser>
          <c:idx val="1"/>
          <c:order val="1"/>
          <c:tx>
            <c:v>Scenario A (1% of Hyphens Workforce)</c:v>
          </c:tx>
          <c:spPr>
            <a:ln w="28575" cap="rnd">
              <a:solidFill>
                <a:schemeClr val="accent2"/>
              </a:solidFill>
              <a:round/>
            </a:ln>
            <a:effectLst/>
          </c:spPr>
          <c:marker>
            <c:symbol val="none"/>
          </c:marker>
          <c:val>
            <c:numRef>
              <c:f>'10. Aus Total Demand'!$I$30:$I$55</c:f>
              <c:numCache>
                <c:formatCode>#,##0</c:formatCode>
                <c:ptCount val="26"/>
                <c:pt idx="0">
                  <c:v>66379.463842499274</c:v>
                </c:pt>
                <c:pt idx="1">
                  <c:v>66970.632442499278</c:v>
                </c:pt>
                <c:pt idx="2">
                  <c:v>73700.303897099278</c:v>
                </c:pt>
                <c:pt idx="3">
                  <c:v>77492.001737699873</c:v>
                </c:pt>
                <c:pt idx="4">
                  <c:v>78171.088254547096</c:v>
                </c:pt>
                <c:pt idx="5">
                  <c:v>78857.644723079618</c:v>
                </c:pt>
                <c:pt idx="6">
                  <c:v>79551.753312765999</c:v>
                </c:pt>
                <c:pt idx="7">
                  <c:v>80253.49709693894</c:v>
                </c:pt>
                <c:pt idx="8">
                  <c:v>80962.96006273778</c:v>
                </c:pt>
                <c:pt idx="9">
                  <c:v>81680.227121160395</c:v>
                </c:pt>
                <c:pt idx="10">
                  <c:v>82405.384117225665</c:v>
                </c:pt>
                <c:pt idx="11">
                  <c:v>83138.517840247659</c:v>
                </c:pt>
                <c:pt idx="12">
                  <c:v>83879.716034222889</c:v>
                </c:pt>
                <c:pt idx="13">
                  <c:v>84629.067408331844</c:v>
                </c:pt>
                <c:pt idx="14">
                  <c:v>85386.661647556</c:v>
                </c:pt>
                <c:pt idx="15">
                  <c:v>86152.589423411628</c:v>
                </c:pt>
                <c:pt idx="16">
                  <c:v>86926.942404801666</c:v>
                </c:pt>
                <c:pt idx="17">
                  <c:v>87709.813268986996</c:v>
                </c:pt>
                <c:pt idx="18">
                  <c:v>88501.295712678359</c:v>
                </c:pt>
                <c:pt idx="19">
                  <c:v>89301.484463250323</c:v>
                </c:pt>
                <c:pt idx="20">
                  <c:v>90110.475290078597</c:v>
                </c:pt>
                <c:pt idx="21">
                  <c:v>90928.365016001961</c:v>
                </c:pt>
                <c:pt idx="22">
                  <c:v>91755.251528910492</c:v>
                </c:pt>
                <c:pt idx="23">
                  <c:v>92591.233793461026</c:v>
                </c:pt>
                <c:pt idx="24">
                  <c:v>93436.411862921595</c:v>
                </c:pt>
                <c:pt idx="25">
                  <c:v>94290.886891146234</c:v>
                </c:pt>
              </c:numCache>
            </c:numRef>
          </c:val>
          <c:smooth val="0"/>
          <c:extLst>
            <c:ext xmlns:c16="http://schemas.microsoft.com/office/drawing/2014/chart" uri="{C3380CC4-5D6E-409C-BE32-E72D297353CC}">
              <c16:uniqueId val="{00000001-DEAE-4753-A49F-0B7D01A06682}"/>
            </c:ext>
          </c:extLst>
        </c:ser>
        <c:ser>
          <c:idx val="2"/>
          <c:order val="2"/>
          <c:tx>
            <c:v>Scenario B - (1% of Hyphens Workforce)</c:v>
          </c:tx>
          <c:spPr>
            <a:ln w="28575" cap="rnd">
              <a:solidFill>
                <a:schemeClr val="accent3"/>
              </a:solidFill>
              <a:round/>
            </a:ln>
            <a:effectLst/>
          </c:spPr>
          <c:marker>
            <c:symbol val="none"/>
          </c:marker>
          <c:val>
            <c:numRef>
              <c:f>'10. Aus Total Demand'!$J$30:$J$55</c:f>
              <c:numCache>
                <c:formatCode>#,##0</c:formatCode>
                <c:ptCount val="26"/>
                <c:pt idx="0">
                  <c:v>66379.463842499274</c:v>
                </c:pt>
                <c:pt idx="1">
                  <c:v>66970.632442499278</c:v>
                </c:pt>
                <c:pt idx="2">
                  <c:v>81549.263897099285</c:v>
                </c:pt>
                <c:pt idx="3">
                  <c:v>85427.300297699883</c:v>
                </c:pt>
                <c:pt idx="4">
                  <c:v>86193.675098707085</c:v>
                </c:pt>
                <c:pt idx="5">
                  <c:v>86968.480022525371</c:v>
                </c:pt>
                <c:pt idx="6">
                  <c:v>87751.80780050566</c:v>
                </c:pt>
                <c:pt idx="7">
                  <c:v>88543.752184043726</c:v>
                </c:pt>
                <c:pt idx="8">
                  <c:v>89344.407955800722</c:v>
                </c:pt>
                <c:pt idx="9">
                  <c:v>90153.870941047033</c:v>
                </c:pt>
                <c:pt idx="10">
                  <c:v>90972.238019131051</c:v>
                </c:pt>
                <c:pt idx="11">
                  <c:v>91799.607135074009</c:v>
                </c:pt>
                <c:pt idx="12">
                  <c:v>92636.077311292334</c:v>
                </c:pt>
                <c:pt idx="13">
                  <c:v>93481.748659449062</c:v>
                </c:pt>
                <c:pt idx="14">
                  <c:v>94336.722392435506</c:v>
                </c:pt>
                <c:pt idx="15">
                  <c:v>95201.100836484809</c:v>
                </c:pt>
                <c:pt idx="16">
                  <c:v>96074.987443418635</c:v>
                </c:pt>
                <c:pt idx="17">
                  <c:v>96958.486803028747</c:v>
                </c:pt>
                <c:pt idx="18">
                  <c:v>97851.704655594571</c:v>
                </c:pt>
                <c:pt idx="19">
                  <c:v>98754.747904538628</c:v>
                </c:pt>
                <c:pt idx="20">
                  <c:v>99667.724629221048</c:v>
                </c:pt>
                <c:pt idx="21">
                  <c:v>100590.74409787499</c:v>
                </c:pt>
                <c:pt idx="22">
                  <c:v>101523.91678068413</c:v>
                </c:pt>
                <c:pt idx="23">
                  <c:v>102467.35436300415</c:v>
                </c:pt>
                <c:pt idx="24">
                  <c:v>103421.16975872971</c:v>
                </c:pt>
                <c:pt idx="25">
                  <c:v>104385.47712380825</c:v>
                </c:pt>
              </c:numCache>
            </c:numRef>
          </c:val>
          <c:smooth val="0"/>
          <c:extLst>
            <c:ext xmlns:c16="http://schemas.microsoft.com/office/drawing/2014/chart" uri="{C3380CC4-5D6E-409C-BE32-E72D297353CC}">
              <c16:uniqueId val="{00000003-DEAE-4753-A49F-0B7D01A06682}"/>
            </c:ext>
          </c:extLst>
        </c:ser>
        <c:ser>
          <c:idx val="3"/>
          <c:order val="3"/>
          <c:tx>
            <c:v>Scenario C - (1% of Hyphens Workforce)</c:v>
          </c:tx>
          <c:spPr>
            <a:ln w="28575" cap="rnd">
              <a:solidFill>
                <a:schemeClr val="accent4"/>
              </a:solidFill>
              <a:round/>
            </a:ln>
            <a:effectLst/>
          </c:spPr>
          <c:marker>
            <c:symbol val="none"/>
          </c:marker>
          <c:val>
            <c:numRef>
              <c:f>'10. Aus Total Demand'!$K$30:$K$55</c:f>
              <c:numCache>
                <c:formatCode>#,##0</c:formatCode>
                <c:ptCount val="26"/>
                <c:pt idx="0">
                  <c:v>66379.463842499274</c:v>
                </c:pt>
                <c:pt idx="1">
                  <c:v>66970.632442499278</c:v>
                </c:pt>
                <c:pt idx="2">
                  <c:v>81549.263897099285</c:v>
                </c:pt>
                <c:pt idx="3">
                  <c:v>85427.300297699883</c:v>
                </c:pt>
                <c:pt idx="4">
                  <c:v>86193.675098707085</c:v>
                </c:pt>
                <c:pt idx="5">
                  <c:v>86968.480022525371</c:v>
                </c:pt>
                <c:pt idx="6">
                  <c:v>87751.80780050566</c:v>
                </c:pt>
                <c:pt idx="7">
                  <c:v>88543.752184043726</c:v>
                </c:pt>
                <c:pt idx="8">
                  <c:v>89344.407955800722</c:v>
                </c:pt>
                <c:pt idx="9">
                  <c:v>76172.910941047026</c:v>
                </c:pt>
                <c:pt idx="10">
                  <c:v>76837.487459131051</c:v>
                </c:pt>
                <c:pt idx="11">
                  <c:v>77509.374318914008</c:v>
                </c:pt>
                <c:pt idx="12">
                  <c:v>78188.651934154565</c:v>
                </c:pt>
                <c:pt idx="13">
                  <c:v>78875.401603162783</c:v>
                </c:pt>
                <c:pt idx="14">
                  <c:v>79569.705518530071</c:v>
                </c:pt>
                <c:pt idx="15">
                  <c:v>80271.646776966401</c:v>
                </c:pt>
                <c:pt idx="16">
                  <c:v>80981.309389245551</c:v>
                </c:pt>
                <c:pt idx="17">
                  <c:v>81698.778290259754</c:v>
                </c:pt>
                <c:pt idx="18">
                  <c:v>82424.139349185119</c:v>
                </c:pt>
                <c:pt idx="19">
                  <c:v>83157.479379758675</c:v>
                </c:pt>
                <c:pt idx="20">
                  <c:v>83898.886150668521</c:v>
                </c:pt>
                <c:pt idx="21">
                  <c:v>84648.448396058389</c:v>
                </c:pt>
                <c:pt idx="22">
                  <c:v>85406.255826147535</c:v>
                </c:pt>
                <c:pt idx="23">
                  <c:v>86172.399137967659</c:v>
                </c:pt>
                <c:pt idx="24">
                  <c:v>86946.970026217823</c:v>
                </c:pt>
                <c:pt idx="25">
                  <c:v>87730.061194238733</c:v>
                </c:pt>
              </c:numCache>
            </c:numRef>
          </c:val>
          <c:smooth val="0"/>
          <c:extLst>
            <c:ext xmlns:c16="http://schemas.microsoft.com/office/drawing/2014/chart" uri="{C3380CC4-5D6E-409C-BE32-E72D297353CC}">
              <c16:uniqueId val="{00000004-DEAE-4753-A49F-0B7D01A06682}"/>
            </c:ext>
          </c:extLst>
        </c:ser>
        <c:ser>
          <c:idx val="4"/>
          <c:order val="4"/>
          <c:tx>
            <c:v>Namwater Projection</c:v>
          </c:tx>
          <c:spPr>
            <a:ln w="28575" cap="rnd">
              <a:solidFill>
                <a:schemeClr val="accent5"/>
              </a:solidFill>
              <a:round/>
            </a:ln>
            <a:effectLst/>
          </c:spPr>
          <c:marker>
            <c:symbol val="none"/>
          </c:marker>
          <c:val>
            <c:numRef>
              <c:f>'10. Aus Total Demand'!$N$32:$N$57</c:f>
              <c:numCache>
                <c:formatCode>#,##0</c:formatCode>
                <c:ptCount val="26"/>
                <c:pt idx="0">
                  <c:v>61389.629925632107</c:v>
                </c:pt>
                <c:pt idx="1">
                  <c:v>62064.915854814062</c:v>
                </c:pt>
                <c:pt idx="2">
                  <c:v>62747.629929217015</c:v>
                </c:pt>
                <c:pt idx="3">
                  <c:v>63437.8538584384</c:v>
                </c:pt>
                <c:pt idx="4">
                  <c:v>64135.670250881223</c:v>
                </c:pt>
                <c:pt idx="5">
                  <c:v>64841.162623640914</c:v>
                </c:pt>
                <c:pt idx="6">
                  <c:v>65554.415412500966</c:v>
                </c:pt>
                <c:pt idx="7">
                  <c:v>66275.513982038479</c:v>
                </c:pt>
                <c:pt idx="8">
                  <c:v>67004.544635840895</c:v>
                </c:pt>
                <c:pt idx="9">
                  <c:v>67741.59462683514</c:v>
                </c:pt>
                <c:pt idx="10">
                  <c:v>68486.75216773033</c:v>
                </c:pt>
                <c:pt idx="11">
                  <c:v>69240.106441575364</c:v>
                </c:pt>
                <c:pt idx="12">
                  <c:v>70001.747612432693</c:v>
                </c:pt>
                <c:pt idx="13">
                  <c:v>70771.766836169452</c:v>
                </c:pt>
                <c:pt idx="14">
                  <c:v>71550.256271367311</c:v>
                </c:pt>
                <c:pt idx="15">
                  <c:v>72337.309090352355</c:v>
                </c:pt>
                <c:pt idx="16">
                  <c:v>73133.019490346225</c:v>
                </c:pt>
                <c:pt idx="17">
                  <c:v>73937.482704740032</c:v>
                </c:pt>
                <c:pt idx="18">
                  <c:v>74750.795014492178</c:v>
                </c:pt>
                <c:pt idx="19">
                  <c:v>75573.053759651593</c:v>
                </c:pt>
                <c:pt idx="20">
                  <c:v>76404.357351007755</c:v>
                </c:pt>
                <c:pt idx="21">
                  <c:v>77244.805281868845</c:v>
                </c:pt>
                <c:pt idx="22">
                  <c:v>78094.498139969408</c:v>
                </c:pt>
                <c:pt idx="23">
                  <c:v>78953.537619509065</c:v>
                </c:pt>
                <c:pt idx="24">
                  <c:v>79822.02653332366</c:v>
                </c:pt>
                <c:pt idx="25">
                  <c:v>80700.068825190217</c:v>
                </c:pt>
              </c:numCache>
            </c:numRef>
          </c:val>
          <c:smooth val="0"/>
          <c:extLst>
            <c:ext xmlns:c16="http://schemas.microsoft.com/office/drawing/2014/chart" uri="{C3380CC4-5D6E-409C-BE32-E72D297353CC}">
              <c16:uniqueId val="{00000005-DEAE-4753-A49F-0B7D01A06682}"/>
            </c:ext>
          </c:extLst>
        </c:ser>
        <c:dLbls>
          <c:showLegendKey val="0"/>
          <c:showVal val="0"/>
          <c:showCatName val="0"/>
          <c:showSerName val="0"/>
          <c:showPercent val="0"/>
          <c:showBubbleSize val="0"/>
        </c:dLbls>
        <c:smooth val="0"/>
        <c:axId val="320012912"/>
        <c:axId val="320008112"/>
      </c:lineChart>
      <c:catAx>
        <c:axId val="3200129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0008112"/>
        <c:crosses val="autoZero"/>
        <c:auto val="1"/>
        <c:lblAlgn val="ctr"/>
        <c:lblOffset val="100"/>
        <c:tickLblSkip val="2"/>
        <c:tickMarkSkip val="1"/>
        <c:noMultiLvlLbl val="0"/>
      </c:catAx>
      <c:valAx>
        <c:axId val="32000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total demand [m³/y]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001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solidFill>
                <a:latin typeface="+mn-lt"/>
                <a:ea typeface="+mn-ea"/>
                <a:cs typeface="+mn-cs"/>
              </a:defRPr>
            </a:pPr>
            <a:r>
              <a:rPr lang="de-DE" b="1"/>
              <a:t>Figure 2: Population Development without Hydrogen-Related Workforce but with Hydrogen-Related Workforce Family Relocation </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solidFill>
              <a:latin typeface="+mn-lt"/>
              <a:ea typeface="+mn-ea"/>
              <a:cs typeface="+mn-cs"/>
            </a:defRPr>
          </a:pPr>
          <a:endParaRPr lang="de-DE"/>
        </a:p>
      </c:txPr>
    </c:title>
    <c:autoTitleDeleted val="0"/>
    <c:plotArea>
      <c:layout/>
      <c:lineChart>
        <c:grouping val="standard"/>
        <c:varyColors val="0"/>
        <c:ser>
          <c:idx val="0"/>
          <c:order val="0"/>
          <c:tx>
            <c:strRef>
              <c:f>'4. Lüderitz Population Calc'!$AU$30</c:f>
              <c:strCache>
                <c:ptCount val="1"/>
                <c:pt idx="0">
                  <c:v>Scenario 1</c:v>
                </c:pt>
              </c:strCache>
            </c:strRef>
          </c:tx>
          <c:spPr>
            <a:ln w="28575" cap="rnd">
              <a:solidFill>
                <a:schemeClr val="accent1"/>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Calc'!$AU$31:$AU$56</c:f>
              <c:numCache>
                <c:formatCode>#,##0</c:formatCode>
                <c:ptCount val="26"/>
                <c:pt idx="0">
                  <c:v>17000</c:v>
                </c:pt>
                <c:pt idx="1">
                  <c:v>21278.6</c:v>
                </c:pt>
                <c:pt idx="2">
                  <c:v>22432.250599999999</c:v>
                </c:pt>
                <c:pt idx="3">
                  <c:v>23359.327862599999</c:v>
                </c:pt>
                <c:pt idx="4">
                  <c:v>23849.873747714599</c:v>
                </c:pt>
                <c:pt idx="5">
                  <c:v>24464.721096416604</c:v>
                </c:pt>
                <c:pt idx="6">
                  <c:v>28900.080239441351</c:v>
                </c:pt>
                <c:pt idx="7">
                  <c:v>29506.981924469619</c:v>
                </c:pt>
                <c:pt idx="8">
                  <c:v>30126.628544883482</c:v>
                </c:pt>
                <c:pt idx="9">
                  <c:v>34680.887744326035</c:v>
                </c:pt>
                <c:pt idx="10">
                  <c:v>35409.186386956884</c:v>
                </c:pt>
                <c:pt idx="11">
                  <c:v>36152.779301082977</c:v>
                </c:pt>
                <c:pt idx="12">
                  <c:v>36911.987666405723</c:v>
                </c:pt>
                <c:pt idx="13">
                  <c:v>37687.139407400246</c:v>
                </c:pt>
                <c:pt idx="14">
                  <c:v>38478.569334955653</c:v>
                </c:pt>
                <c:pt idx="15">
                  <c:v>39286.619290989722</c:v>
                </c:pt>
                <c:pt idx="16">
                  <c:v>40111.638296100507</c:v>
                </c:pt>
                <c:pt idx="17">
                  <c:v>40953.982700318615</c:v>
                </c:pt>
                <c:pt idx="18">
                  <c:v>41814.016337025307</c:v>
                </c:pt>
                <c:pt idx="19">
                  <c:v>42692.110680102836</c:v>
                </c:pt>
                <c:pt idx="20">
                  <c:v>43588.645004384998</c:v>
                </c:pt>
                <c:pt idx="21">
                  <c:v>44504.006549477082</c:v>
                </c:pt>
                <c:pt idx="22">
                  <c:v>45438.590687016098</c:v>
                </c:pt>
                <c:pt idx="23">
                  <c:v>46392.801091443434</c:v>
                </c:pt>
                <c:pt idx="24">
                  <c:v>47367.04991436375</c:v>
                </c:pt>
                <c:pt idx="25">
                  <c:v>48361.757962565389</c:v>
                </c:pt>
              </c:numCache>
            </c:numRef>
          </c:val>
          <c:smooth val="0"/>
          <c:extLst>
            <c:ext xmlns:c16="http://schemas.microsoft.com/office/drawing/2014/chart" uri="{C3380CC4-5D6E-409C-BE32-E72D297353CC}">
              <c16:uniqueId val="{00000000-1971-405E-8648-BEA2713291C4}"/>
            </c:ext>
          </c:extLst>
        </c:ser>
        <c:ser>
          <c:idx val="1"/>
          <c:order val="1"/>
          <c:tx>
            <c:strRef>
              <c:f>'4. Lüderitz Population Calc'!$AV$30</c:f>
              <c:strCache>
                <c:ptCount val="1"/>
                <c:pt idx="0">
                  <c:v>Scenario 2</c:v>
                </c:pt>
              </c:strCache>
            </c:strRef>
          </c:tx>
          <c:spPr>
            <a:ln w="28575" cap="rnd">
              <a:solidFill>
                <a:schemeClr val="accent2"/>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Calc'!$AV$31:$AV$56</c:f>
              <c:numCache>
                <c:formatCode>#,##0</c:formatCode>
                <c:ptCount val="26"/>
                <c:pt idx="0">
                  <c:v>17000</c:v>
                </c:pt>
                <c:pt idx="1">
                  <c:v>21278.6</c:v>
                </c:pt>
                <c:pt idx="2">
                  <c:v>22432.250599999999</c:v>
                </c:pt>
                <c:pt idx="3">
                  <c:v>23359.327862599999</c:v>
                </c:pt>
                <c:pt idx="4">
                  <c:v>23849.873747714599</c:v>
                </c:pt>
                <c:pt idx="5">
                  <c:v>40424.721096416601</c:v>
                </c:pt>
                <c:pt idx="6">
                  <c:v>45195.240239441351</c:v>
                </c:pt>
                <c:pt idx="7">
                  <c:v>46144.340284469617</c:v>
                </c:pt>
                <c:pt idx="8">
                  <c:v>47113.371430443476</c:v>
                </c:pt>
                <c:pt idx="9">
                  <c:v>52024.352230482786</c:v>
                </c:pt>
                <c:pt idx="10">
                  <c:v>53116.863627322928</c:v>
                </c:pt>
                <c:pt idx="11">
                  <c:v>54232.317763496707</c:v>
                </c:pt>
                <c:pt idx="12">
                  <c:v>55371.196436530139</c:v>
                </c:pt>
                <c:pt idx="13">
                  <c:v>56533.991561697272</c:v>
                </c:pt>
                <c:pt idx="14">
                  <c:v>57721.205384492918</c:v>
                </c:pt>
                <c:pt idx="15">
                  <c:v>58933.350697567272</c:v>
                </c:pt>
                <c:pt idx="16">
                  <c:v>60170.951062216183</c:v>
                </c:pt>
                <c:pt idx="17">
                  <c:v>61434.541034522721</c:v>
                </c:pt>
                <c:pt idx="18">
                  <c:v>62724.666396247696</c:v>
                </c:pt>
                <c:pt idx="19">
                  <c:v>64041.884390568899</c:v>
                </c:pt>
                <c:pt idx="20">
                  <c:v>65386.763962770849</c:v>
                </c:pt>
                <c:pt idx="21">
                  <c:v>66759.886005989043</c:v>
                </c:pt>
                <c:pt idx="22">
                  <c:v>68161.843612114812</c:v>
                </c:pt>
                <c:pt idx="23">
                  <c:v>69593.242327969216</c:v>
                </c:pt>
                <c:pt idx="24">
                  <c:v>71054.700416856576</c:v>
                </c:pt>
                <c:pt idx="25">
                  <c:v>72546.849125610563</c:v>
                </c:pt>
              </c:numCache>
            </c:numRef>
          </c:val>
          <c:smooth val="0"/>
          <c:extLst>
            <c:ext xmlns:c16="http://schemas.microsoft.com/office/drawing/2014/chart" uri="{C3380CC4-5D6E-409C-BE32-E72D297353CC}">
              <c16:uniqueId val="{00000001-1971-405E-8648-BEA2713291C4}"/>
            </c:ext>
          </c:extLst>
        </c:ser>
        <c:ser>
          <c:idx val="2"/>
          <c:order val="2"/>
          <c:tx>
            <c:strRef>
              <c:f>'4. Lüderitz Population Calc'!$AW$30</c:f>
              <c:strCache>
                <c:ptCount val="1"/>
                <c:pt idx="0">
                  <c:v>Scenario 3a</c:v>
                </c:pt>
              </c:strCache>
            </c:strRef>
          </c:tx>
          <c:spPr>
            <a:ln w="28575" cap="rnd">
              <a:solidFill>
                <a:schemeClr val="accent3"/>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Calc'!$AW$31:$AW$56</c:f>
              <c:numCache>
                <c:formatCode>#,##0</c:formatCode>
                <c:ptCount val="26"/>
                <c:pt idx="0">
                  <c:v>17000</c:v>
                </c:pt>
                <c:pt idx="1">
                  <c:v>21278.6</c:v>
                </c:pt>
                <c:pt idx="2">
                  <c:v>22432.250599999999</c:v>
                </c:pt>
                <c:pt idx="3">
                  <c:v>23359.327862599999</c:v>
                </c:pt>
                <c:pt idx="4">
                  <c:v>23849.873747714599</c:v>
                </c:pt>
                <c:pt idx="5">
                  <c:v>24464.721096416604</c:v>
                </c:pt>
                <c:pt idx="6">
                  <c:v>28900.080239441351</c:v>
                </c:pt>
                <c:pt idx="7">
                  <c:v>29506.981924469619</c:v>
                </c:pt>
                <c:pt idx="8">
                  <c:v>30126.628544883482</c:v>
                </c:pt>
                <c:pt idx="9">
                  <c:v>34680.887744326035</c:v>
                </c:pt>
                <c:pt idx="10">
                  <c:v>35409.186386956884</c:v>
                </c:pt>
                <c:pt idx="11">
                  <c:v>36152.779301082977</c:v>
                </c:pt>
                <c:pt idx="12">
                  <c:v>36911.987666405723</c:v>
                </c:pt>
                <c:pt idx="13">
                  <c:v>37687.139407400246</c:v>
                </c:pt>
                <c:pt idx="14">
                  <c:v>38478.569334955653</c:v>
                </c:pt>
                <c:pt idx="15">
                  <c:v>39286.619290989722</c:v>
                </c:pt>
                <c:pt idx="16">
                  <c:v>40111.638296100507</c:v>
                </c:pt>
                <c:pt idx="17">
                  <c:v>40953.982700318615</c:v>
                </c:pt>
                <c:pt idx="18">
                  <c:v>41814.016337025307</c:v>
                </c:pt>
                <c:pt idx="19">
                  <c:v>42692.110680102836</c:v>
                </c:pt>
                <c:pt idx="20">
                  <c:v>43588.645004384998</c:v>
                </c:pt>
                <c:pt idx="21">
                  <c:v>44504.006549477082</c:v>
                </c:pt>
                <c:pt idx="22">
                  <c:v>45438.590687016098</c:v>
                </c:pt>
                <c:pt idx="23">
                  <c:v>46392.801091443434</c:v>
                </c:pt>
                <c:pt idx="24">
                  <c:v>47367.04991436375</c:v>
                </c:pt>
                <c:pt idx="25">
                  <c:v>48361.757962565389</c:v>
                </c:pt>
              </c:numCache>
            </c:numRef>
          </c:val>
          <c:smooth val="0"/>
          <c:extLst>
            <c:ext xmlns:c16="http://schemas.microsoft.com/office/drawing/2014/chart" uri="{C3380CC4-5D6E-409C-BE32-E72D297353CC}">
              <c16:uniqueId val="{00000002-1971-405E-8648-BEA2713291C4}"/>
            </c:ext>
          </c:extLst>
        </c:ser>
        <c:ser>
          <c:idx val="3"/>
          <c:order val="3"/>
          <c:tx>
            <c:strRef>
              <c:f>'4. Lüderitz Population Calc'!$AX$30</c:f>
              <c:strCache>
                <c:ptCount val="1"/>
                <c:pt idx="0">
                  <c:v>Scenario 3b</c:v>
                </c:pt>
              </c:strCache>
            </c:strRef>
          </c:tx>
          <c:spPr>
            <a:ln w="28575" cap="rnd">
              <a:solidFill>
                <a:schemeClr val="accent4"/>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Calc'!$AX$31:$AX$56</c:f>
              <c:numCache>
                <c:formatCode>#,##0</c:formatCode>
                <c:ptCount val="26"/>
                <c:pt idx="0">
                  <c:v>17000</c:v>
                </c:pt>
                <c:pt idx="1">
                  <c:v>21278.6</c:v>
                </c:pt>
                <c:pt idx="2">
                  <c:v>47632.250599999999</c:v>
                </c:pt>
                <c:pt idx="3">
                  <c:v>49088.5278626</c:v>
                </c:pt>
                <c:pt idx="4">
                  <c:v>50119.3869477146</c:v>
                </c:pt>
                <c:pt idx="5">
                  <c:v>51285.894073616604</c:v>
                </c:pt>
                <c:pt idx="6">
                  <c:v>56284.497849162552</c:v>
                </c:pt>
                <c:pt idx="7">
                  <c:v>57466.472303994968</c:v>
                </c:pt>
                <c:pt idx="8">
                  <c:v>58673.268222378865</c:v>
                </c:pt>
                <c:pt idx="9">
                  <c:v>43667.006855048821</c:v>
                </c:pt>
                <c:pt idx="10">
                  <c:v>44584.013999004848</c:v>
                </c:pt>
                <c:pt idx="11">
                  <c:v>45520.278292983952</c:v>
                </c:pt>
                <c:pt idx="12">
                  <c:v>46476.204137136614</c:v>
                </c:pt>
                <c:pt idx="13">
                  <c:v>47452.204424016483</c:v>
                </c:pt>
                <c:pt idx="14">
                  <c:v>48448.70071692083</c:v>
                </c:pt>
                <c:pt idx="15">
                  <c:v>49466.123431976164</c:v>
                </c:pt>
                <c:pt idx="16">
                  <c:v>50504.912024047662</c:v>
                </c:pt>
                <c:pt idx="17">
                  <c:v>51565.515176552661</c:v>
                </c:pt>
                <c:pt idx="18">
                  <c:v>52648.39099526027</c:v>
                </c:pt>
                <c:pt idx="19">
                  <c:v>53754.007206160735</c:v>
                </c:pt>
                <c:pt idx="20">
                  <c:v>54882.841357490113</c:v>
                </c:pt>
                <c:pt idx="21">
                  <c:v>56035.381025997405</c:v>
                </c:pt>
                <c:pt idx="22">
                  <c:v>57212.124027543352</c:v>
                </c:pt>
                <c:pt idx="23">
                  <c:v>58413.57863212176</c:v>
                </c:pt>
                <c:pt idx="24">
                  <c:v>59640.263783396316</c:v>
                </c:pt>
                <c:pt idx="25">
                  <c:v>60892.709322847637</c:v>
                </c:pt>
              </c:numCache>
            </c:numRef>
          </c:val>
          <c:smooth val="0"/>
          <c:extLst>
            <c:ext xmlns:c16="http://schemas.microsoft.com/office/drawing/2014/chart" uri="{C3380CC4-5D6E-409C-BE32-E72D297353CC}">
              <c16:uniqueId val="{00000003-1971-405E-8648-BEA2713291C4}"/>
            </c:ext>
          </c:extLst>
        </c:ser>
        <c:ser>
          <c:idx val="4"/>
          <c:order val="4"/>
          <c:tx>
            <c:strRef>
              <c:f>'4. Lüderitz Population Calc'!$AY$30</c:f>
              <c:strCache>
                <c:ptCount val="1"/>
                <c:pt idx="0">
                  <c:v>Scenario 4a</c:v>
                </c:pt>
              </c:strCache>
            </c:strRef>
          </c:tx>
          <c:spPr>
            <a:ln w="28575" cap="rnd">
              <a:solidFill>
                <a:schemeClr val="accent5"/>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Calc'!$AY$31:$AY$56</c:f>
              <c:numCache>
                <c:formatCode>#,##0</c:formatCode>
                <c:ptCount val="26"/>
                <c:pt idx="0">
                  <c:v>17000</c:v>
                </c:pt>
                <c:pt idx="1">
                  <c:v>21278.6</c:v>
                </c:pt>
                <c:pt idx="2">
                  <c:v>22432.250599999999</c:v>
                </c:pt>
                <c:pt idx="3">
                  <c:v>23359.327862599999</c:v>
                </c:pt>
                <c:pt idx="4">
                  <c:v>23849.873747714599</c:v>
                </c:pt>
                <c:pt idx="5">
                  <c:v>40424.721096416601</c:v>
                </c:pt>
                <c:pt idx="6">
                  <c:v>45195.240239441351</c:v>
                </c:pt>
                <c:pt idx="7">
                  <c:v>46144.340284469617</c:v>
                </c:pt>
                <c:pt idx="8">
                  <c:v>47113.371430443476</c:v>
                </c:pt>
                <c:pt idx="9">
                  <c:v>52024.352230482786</c:v>
                </c:pt>
                <c:pt idx="10">
                  <c:v>53116.863627322928</c:v>
                </c:pt>
                <c:pt idx="11">
                  <c:v>54232.317763496707</c:v>
                </c:pt>
                <c:pt idx="12">
                  <c:v>55371.196436530139</c:v>
                </c:pt>
                <c:pt idx="13">
                  <c:v>56533.991561697272</c:v>
                </c:pt>
                <c:pt idx="14">
                  <c:v>57721.205384492918</c:v>
                </c:pt>
                <c:pt idx="15">
                  <c:v>58933.350697567272</c:v>
                </c:pt>
                <c:pt idx="16">
                  <c:v>60170.951062216183</c:v>
                </c:pt>
                <c:pt idx="17">
                  <c:v>61434.541034522721</c:v>
                </c:pt>
                <c:pt idx="18">
                  <c:v>62724.666396247696</c:v>
                </c:pt>
                <c:pt idx="19">
                  <c:v>64041.884390568899</c:v>
                </c:pt>
                <c:pt idx="20">
                  <c:v>65386.763962770849</c:v>
                </c:pt>
                <c:pt idx="21">
                  <c:v>66759.886005989043</c:v>
                </c:pt>
                <c:pt idx="22">
                  <c:v>68161.843612114812</c:v>
                </c:pt>
                <c:pt idx="23">
                  <c:v>69593.242327969216</c:v>
                </c:pt>
                <c:pt idx="24">
                  <c:v>71054.700416856576</c:v>
                </c:pt>
                <c:pt idx="25">
                  <c:v>72546.849125610563</c:v>
                </c:pt>
              </c:numCache>
            </c:numRef>
          </c:val>
          <c:smooth val="0"/>
          <c:extLst>
            <c:ext xmlns:c16="http://schemas.microsoft.com/office/drawing/2014/chart" uri="{C3380CC4-5D6E-409C-BE32-E72D297353CC}">
              <c16:uniqueId val="{00000004-1971-405E-8648-BEA2713291C4}"/>
            </c:ext>
          </c:extLst>
        </c:ser>
        <c:ser>
          <c:idx val="5"/>
          <c:order val="5"/>
          <c:tx>
            <c:strRef>
              <c:f>'4. Lüderitz Population Calc'!$AZ$30</c:f>
              <c:strCache>
                <c:ptCount val="1"/>
                <c:pt idx="0">
                  <c:v>Scenario 4b</c:v>
                </c:pt>
              </c:strCache>
            </c:strRef>
          </c:tx>
          <c:spPr>
            <a:ln w="28575" cap="rnd">
              <a:solidFill>
                <a:schemeClr val="accent6"/>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Calc'!$AZ$31:$AZ$56</c:f>
              <c:numCache>
                <c:formatCode>#,##0</c:formatCode>
                <c:ptCount val="26"/>
                <c:pt idx="0">
                  <c:v>17000</c:v>
                </c:pt>
                <c:pt idx="1">
                  <c:v>21278.6</c:v>
                </c:pt>
                <c:pt idx="2">
                  <c:v>47632.250599999999</c:v>
                </c:pt>
                <c:pt idx="3">
                  <c:v>49088.5278626</c:v>
                </c:pt>
                <c:pt idx="4">
                  <c:v>50119.3869477146</c:v>
                </c:pt>
                <c:pt idx="5">
                  <c:v>67245.894073616597</c:v>
                </c:pt>
                <c:pt idx="6">
                  <c:v>72579.657849162555</c:v>
                </c:pt>
                <c:pt idx="7">
                  <c:v>74103.830663994973</c:v>
                </c:pt>
                <c:pt idx="8">
                  <c:v>75660.011107938873</c:v>
                </c:pt>
                <c:pt idx="9">
                  <c:v>86210.471341205601</c:v>
                </c:pt>
                <c:pt idx="10">
                  <c:v>88020.891239370918</c:v>
                </c:pt>
                <c:pt idx="11">
                  <c:v>89869.329955397712</c:v>
                </c:pt>
                <c:pt idx="12">
                  <c:v>91756.585884461063</c:v>
                </c:pt>
                <c:pt idx="13">
                  <c:v>93683.474188034743</c:v>
                </c:pt>
                <c:pt idx="14">
                  <c:v>95650.82714598348</c:v>
                </c:pt>
                <c:pt idx="15">
                  <c:v>97659.494516049133</c:v>
                </c:pt>
                <c:pt idx="16">
                  <c:v>99710.343900886161</c:v>
                </c:pt>
                <c:pt idx="17">
                  <c:v>101804.26112280478</c:v>
                </c:pt>
                <c:pt idx="18">
                  <c:v>103942.15060638367</c:v>
                </c:pt>
                <c:pt idx="19">
                  <c:v>106124.93576911773</c:v>
                </c:pt>
                <c:pt idx="20">
                  <c:v>108353.5594202692</c:v>
                </c:pt>
                <c:pt idx="21">
                  <c:v>110628.98416809486</c:v>
                </c:pt>
                <c:pt idx="22">
                  <c:v>112952.19283562485</c:v>
                </c:pt>
                <c:pt idx="23">
                  <c:v>115324.18888517297</c:v>
                </c:pt>
                <c:pt idx="24">
                  <c:v>117745.99685176161</c:v>
                </c:pt>
                <c:pt idx="25">
                  <c:v>120218.6627856486</c:v>
                </c:pt>
              </c:numCache>
            </c:numRef>
          </c:val>
          <c:smooth val="0"/>
          <c:extLst>
            <c:ext xmlns:c16="http://schemas.microsoft.com/office/drawing/2014/chart" uri="{C3380CC4-5D6E-409C-BE32-E72D297353CC}">
              <c16:uniqueId val="{00000005-1971-405E-8648-BEA2713291C4}"/>
            </c:ext>
          </c:extLst>
        </c:ser>
        <c:ser>
          <c:idx val="6"/>
          <c:order val="6"/>
          <c:tx>
            <c:strRef>
              <c:f>'4. Lüderitz Population Calc'!$BA$30</c:f>
              <c:strCache>
                <c:ptCount val="1"/>
                <c:pt idx="0">
                  <c:v>Scenario 5a</c:v>
                </c:pt>
              </c:strCache>
            </c:strRef>
          </c:tx>
          <c:spPr>
            <a:ln w="28575" cap="rnd">
              <a:solidFill>
                <a:schemeClr val="accent1">
                  <a:lumMod val="60000"/>
                </a:schemeClr>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Calc'!$BA$31:$BA$56</c:f>
              <c:numCache>
                <c:formatCode>#,##0</c:formatCode>
                <c:ptCount val="26"/>
                <c:pt idx="0">
                  <c:v>17000</c:v>
                </c:pt>
                <c:pt idx="1">
                  <c:v>21278.6</c:v>
                </c:pt>
                <c:pt idx="2">
                  <c:v>47632.250599999999</c:v>
                </c:pt>
                <c:pt idx="3">
                  <c:v>49088.5278626</c:v>
                </c:pt>
                <c:pt idx="4">
                  <c:v>50119.3869477146</c:v>
                </c:pt>
                <c:pt idx="5">
                  <c:v>67245.894073616597</c:v>
                </c:pt>
                <c:pt idx="6">
                  <c:v>72579.657849162555</c:v>
                </c:pt>
                <c:pt idx="7">
                  <c:v>74103.830663994973</c:v>
                </c:pt>
                <c:pt idx="8">
                  <c:v>75660.011107938873</c:v>
                </c:pt>
                <c:pt idx="9">
                  <c:v>86210.471341205601</c:v>
                </c:pt>
                <c:pt idx="10">
                  <c:v>88020.891239370918</c:v>
                </c:pt>
                <c:pt idx="11">
                  <c:v>89869.329955397712</c:v>
                </c:pt>
                <c:pt idx="12">
                  <c:v>91756.585884461063</c:v>
                </c:pt>
                <c:pt idx="13">
                  <c:v>93683.474188034743</c:v>
                </c:pt>
                <c:pt idx="14">
                  <c:v>95650.82714598348</c:v>
                </c:pt>
                <c:pt idx="15">
                  <c:v>97659.494516049133</c:v>
                </c:pt>
                <c:pt idx="16">
                  <c:v>99710.343900886161</c:v>
                </c:pt>
                <c:pt idx="17">
                  <c:v>101804.26112280478</c:v>
                </c:pt>
                <c:pt idx="18">
                  <c:v>103942.15060638367</c:v>
                </c:pt>
                <c:pt idx="19">
                  <c:v>106124.93576911773</c:v>
                </c:pt>
                <c:pt idx="20">
                  <c:v>108353.5594202692</c:v>
                </c:pt>
                <c:pt idx="21">
                  <c:v>110628.98416809486</c:v>
                </c:pt>
                <c:pt idx="22">
                  <c:v>112952.19283562485</c:v>
                </c:pt>
                <c:pt idx="23">
                  <c:v>115324.18888517297</c:v>
                </c:pt>
                <c:pt idx="24">
                  <c:v>117745.99685176161</c:v>
                </c:pt>
                <c:pt idx="25">
                  <c:v>120218.6627856486</c:v>
                </c:pt>
              </c:numCache>
            </c:numRef>
          </c:val>
          <c:smooth val="0"/>
          <c:extLst>
            <c:ext xmlns:c16="http://schemas.microsoft.com/office/drawing/2014/chart" uri="{C3380CC4-5D6E-409C-BE32-E72D297353CC}">
              <c16:uniqueId val="{00000006-1971-405E-8648-BEA2713291C4}"/>
            </c:ext>
          </c:extLst>
        </c:ser>
        <c:ser>
          <c:idx val="7"/>
          <c:order val="7"/>
          <c:tx>
            <c:strRef>
              <c:f>'4. Lüderitz Population Calc'!$BB$30</c:f>
              <c:strCache>
                <c:ptCount val="1"/>
                <c:pt idx="0">
                  <c:v>Scenario 5b</c:v>
                </c:pt>
              </c:strCache>
            </c:strRef>
          </c:tx>
          <c:spPr>
            <a:ln w="28575" cap="rnd">
              <a:solidFill>
                <a:schemeClr val="accent2">
                  <a:lumMod val="60000"/>
                </a:schemeClr>
              </a:solidFill>
              <a:round/>
            </a:ln>
            <a:effectLst/>
          </c:spPr>
          <c:marker>
            <c:symbol val="none"/>
          </c:marker>
          <c:cat>
            <c:numRef>
              <c:f>'4. Lüderitz Population Calc'!$B$31:$B$56</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 Lüderitz Population Calc'!$BB$31:$BB$56</c:f>
              <c:numCache>
                <c:formatCode>#,##0</c:formatCode>
                <c:ptCount val="26"/>
                <c:pt idx="0">
                  <c:v>17000</c:v>
                </c:pt>
                <c:pt idx="1">
                  <c:v>21278.6</c:v>
                </c:pt>
                <c:pt idx="2">
                  <c:v>47632.250599999999</c:v>
                </c:pt>
                <c:pt idx="3">
                  <c:v>49088.5278626</c:v>
                </c:pt>
                <c:pt idx="4">
                  <c:v>50119.3869477146</c:v>
                </c:pt>
                <c:pt idx="5">
                  <c:v>67245.894073616597</c:v>
                </c:pt>
                <c:pt idx="6">
                  <c:v>72579.657849162555</c:v>
                </c:pt>
                <c:pt idx="7">
                  <c:v>74103.830663994973</c:v>
                </c:pt>
                <c:pt idx="8">
                  <c:v>75660.011107938873</c:v>
                </c:pt>
                <c:pt idx="9">
                  <c:v>86210.471341205601</c:v>
                </c:pt>
                <c:pt idx="10">
                  <c:v>88020.891239370918</c:v>
                </c:pt>
                <c:pt idx="11">
                  <c:v>89869.329955397712</c:v>
                </c:pt>
                <c:pt idx="12">
                  <c:v>91756.585884461063</c:v>
                </c:pt>
                <c:pt idx="13">
                  <c:v>93683.474188034743</c:v>
                </c:pt>
                <c:pt idx="14">
                  <c:v>95650.82714598348</c:v>
                </c:pt>
                <c:pt idx="15">
                  <c:v>97659.494516049133</c:v>
                </c:pt>
                <c:pt idx="16">
                  <c:v>99710.343900886161</c:v>
                </c:pt>
                <c:pt idx="17">
                  <c:v>106844.26112280478</c:v>
                </c:pt>
                <c:pt idx="18">
                  <c:v>109087.99060638368</c:v>
                </c:pt>
                <c:pt idx="19">
                  <c:v>111378.83840911774</c:v>
                </c:pt>
                <c:pt idx="20">
                  <c:v>113717.79401570921</c:v>
                </c:pt>
                <c:pt idx="21">
                  <c:v>116105.8676900391</c:v>
                </c:pt>
                <c:pt idx="22">
                  <c:v>118544.09091152991</c:v>
                </c:pt>
                <c:pt idx="23">
                  <c:v>121033.51682067204</c:v>
                </c:pt>
                <c:pt idx="24">
                  <c:v>123575.22067390615</c:v>
                </c:pt>
                <c:pt idx="25">
                  <c:v>126170.30030805818</c:v>
                </c:pt>
              </c:numCache>
            </c:numRef>
          </c:val>
          <c:smooth val="0"/>
          <c:extLst>
            <c:ext xmlns:c16="http://schemas.microsoft.com/office/drawing/2014/chart" uri="{C3380CC4-5D6E-409C-BE32-E72D297353CC}">
              <c16:uniqueId val="{00000007-1971-405E-8648-BEA2713291C4}"/>
            </c:ext>
          </c:extLst>
        </c:ser>
        <c:ser>
          <c:idx val="8"/>
          <c:order val="8"/>
          <c:tx>
            <c:v>Statistical Growth</c:v>
          </c:tx>
          <c:spPr>
            <a:ln w="28575" cap="rnd">
              <a:solidFill>
                <a:schemeClr val="accent3">
                  <a:lumMod val="60000"/>
                </a:schemeClr>
              </a:solidFill>
              <a:round/>
            </a:ln>
            <a:effectLst/>
          </c:spPr>
          <c:marker>
            <c:symbol val="none"/>
          </c:marker>
          <c:val>
            <c:numRef>
              <c:f>'4. Lüderitz Population Calc'!$C$31:$C$56</c:f>
              <c:numCache>
                <c:formatCode>#,##0</c:formatCode>
                <c:ptCount val="26"/>
                <c:pt idx="0">
                  <c:v>17000</c:v>
                </c:pt>
                <c:pt idx="1">
                  <c:v>17357</c:v>
                </c:pt>
                <c:pt idx="2">
                  <c:v>17721.496999999999</c:v>
                </c:pt>
                <c:pt idx="3">
                  <c:v>18093.648437</c:v>
                </c:pt>
                <c:pt idx="4">
                  <c:v>18473.615054177</c:v>
                </c:pt>
                <c:pt idx="5">
                  <c:v>18861.560970314717</c:v>
                </c:pt>
                <c:pt idx="6">
                  <c:v>19257.653750691326</c:v>
                </c:pt>
                <c:pt idx="7">
                  <c:v>19662.064479455843</c:v>
                </c:pt>
                <c:pt idx="8">
                  <c:v>20074.967833524417</c:v>
                </c:pt>
                <c:pt idx="9">
                  <c:v>20496.542158028431</c:v>
                </c:pt>
                <c:pt idx="10">
                  <c:v>20926.96954334703</c:v>
                </c:pt>
                <c:pt idx="11">
                  <c:v>21366.435903757316</c:v>
                </c:pt>
                <c:pt idx="12">
                  <c:v>21815.13105773622</c:v>
                </c:pt>
                <c:pt idx="13">
                  <c:v>22273.24880994868</c:v>
                </c:pt>
                <c:pt idx="14">
                  <c:v>22740.987034957601</c:v>
                </c:pt>
                <c:pt idx="15">
                  <c:v>23218.547762691713</c:v>
                </c:pt>
                <c:pt idx="16">
                  <c:v>23706.137265708239</c:v>
                </c:pt>
                <c:pt idx="17">
                  <c:v>24203.966148288113</c:v>
                </c:pt>
                <c:pt idx="18">
                  <c:v>24712.249437402163</c:v>
                </c:pt>
                <c:pt idx="19">
                  <c:v>25231.206675587608</c:v>
                </c:pt>
                <c:pt idx="20">
                  <c:v>25761.062015774947</c:v>
                </c:pt>
                <c:pt idx="21">
                  <c:v>26302.044318106222</c:v>
                </c:pt>
                <c:pt idx="22">
                  <c:v>26854.387248786454</c:v>
                </c:pt>
                <c:pt idx="23">
                  <c:v>27418.329381010968</c:v>
                </c:pt>
                <c:pt idx="24">
                  <c:v>27994.114298012199</c:v>
                </c:pt>
                <c:pt idx="25">
                  <c:v>28581.990698270456</c:v>
                </c:pt>
              </c:numCache>
            </c:numRef>
          </c:val>
          <c:smooth val="0"/>
          <c:extLst>
            <c:ext xmlns:c16="http://schemas.microsoft.com/office/drawing/2014/chart" uri="{C3380CC4-5D6E-409C-BE32-E72D297353CC}">
              <c16:uniqueId val="{00000008-1971-405E-8648-BEA2713291C4}"/>
            </c:ext>
          </c:extLst>
        </c:ser>
        <c:dLbls>
          <c:showLegendKey val="0"/>
          <c:showVal val="0"/>
          <c:showCatName val="0"/>
          <c:showSerName val="0"/>
          <c:showPercent val="0"/>
          <c:showBubbleSize val="0"/>
        </c:dLbls>
        <c:smooth val="0"/>
        <c:axId val="2027669439"/>
        <c:axId val="2027677119"/>
      </c:lineChart>
      <c:catAx>
        <c:axId val="2027669439"/>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2027677119"/>
        <c:crosses val="autoZero"/>
        <c:auto val="1"/>
        <c:lblAlgn val="ctr"/>
        <c:lblOffset val="100"/>
        <c:noMultiLvlLbl val="0"/>
      </c:catAx>
      <c:valAx>
        <c:axId val="2027677119"/>
        <c:scaling>
          <c:orientation val="minMax"/>
          <c:max val="160000"/>
        </c:scaling>
        <c:delete val="0"/>
        <c:axPos val="l"/>
        <c:title>
          <c:tx>
            <c:rich>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a:t>Population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crossAx val="202766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chemeClr val="tx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de-DE" b="1"/>
              <a:t>Figure 1: Total Domestic Water Demand [m3/year]</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2"/>
          <c:order val="1"/>
          <c:tx>
            <c:strRef>
              <c:f>'5. Lüderitz Domestic Demand'!$E$31</c:f>
              <c:strCache>
                <c:ptCount val="1"/>
                <c:pt idx="0">
                  <c:v>Scenario 1</c:v>
                </c:pt>
              </c:strCache>
            </c:strRef>
          </c:tx>
          <c:spPr>
            <a:ln w="28575" cap="rnd">
              <a:solidFill>
                <a:schemeClr val="accent3"/>
              </a:solidFill>
              <a:round/>
            </a:ln>
            <a:effectLst/>
          </c:spPr>
          <c:marker>
            <c:symbol val="none"/>
          </c:marker>
          <c:val>
            <c:numRef>
              <c:f>'5. Lüderitz Domestic Demand'!$E$32:$E$57</c:f>
              <c:numCache>
                <c:formatCode>#,##0</c:formatCode>
                <c:ptCount val="26"/>
                <c:pt idx="0">
                  <c:v>806650</c:v>
                </c:pt>
                <c:pt idx="1">
                  <c:v>1009669.57</c:v>
                </c:pt>
                <c:pt idx="2">
                  <c:v>1064410.29097</c:v>
                </c:pt>
                <c:pt idx="3">
                  <c:v>1108400.10708037</c:v>
                </c:pt>
                <c:pt idx="4">
                  <c:v>1131676.5093290578</c:v>
                </c:pt>
                <c:pt idx="5">
                  <c:v>1160851.0160249679</c:v>
                </c:pt>
                <c:pt idx="6">
                  <c:v>1371308.8073614922</c:v>
                </c:pt>
                <c:pt idx="7">
                  <c:v>1400106.2923160836</c:v>
                </c:pt>
                <c:pt idx="8">
                  <c:v>1429508.5244547212</c:v>
                </c:pt>
                <c:pt idx="9">
                  <c:v>1645608.1234682705</c:v>
                </c:pt>
                <c:pt idx="10">
                  <c:v>1680165.8940611042</c:v>
                </c:pt>
                <c:pt idx="11">
                  <c:v>1715449.3778363874</c:v>
                </c:pt>
                <c:pt idx="12">
                  <c:v>1751473.8147709516</c:v>
                </c:pt>
                <c:pt idx="13">
                  <c:v>1788254.7648811417</c:v>
                </c:pt>
                <c:pt idx="14">
                  <c:v>1825808.1149436459</c:v>
                </c:pt>
                <c:pt idx="15">
                  <c:v>1864150.0853574625</c:v>
                </c:pt>
                <c:pt idx="16">
                  <c:v>1903297.2371499692</c:v>
                </c:pt>
                <c:pt idx="17">
                  <c:v>1943266.4791301184</c:v>
                </c:pt>
                <c:pt idx="18">
                  <c:v>1984075.075191851</c:v>
                </c:pt>
                <c:pt idx="19">
                  <c:v>2025740.6517708797</c:v>
                </c:pt>
                <c:pt idx="20">
                  <c:v>2068281.2054580683</c:v>
                </c:pt>
                <c:pt idx="21">
                  <c:v>2111715.1107726875</c:v>
                </c:pt>
                <c:pt idx="22">
                  <c:v>2156061.1280989139</c:v>
                </c:pt>
                <c:pt idx="23">
                  <c:v>2201338.4117889912</c:v>
                </c:pt>
                <c:pt idx="24">
                  <c:v>2247566.5184365599</c:v>
                </c:pt>
                <c:pt idx="25">
                  <c:v>2294765.4153237278</c:v>
                </c:pt>
              </c:numCache>
            </c:numRef>
          </c:val>
          <c:smooth val="0"/>
          <c:extLst>
            <c:ext xmlns:c16="http://schemas.microsoft.com/office/drawing/2014/chart" uri="{C3380CC4-5D6E-409C-BE32-E72D297353CC}">
              <c16:uniqueId val="{00000002-4257-4C22-BFA3-DF46D8C0D29B}"/>
            </c:ext>
          </c:extLst>
        </c:ser>
        <c:ser>
          <c:idx val="3"/>
          <c:order val="2"/>
          <c:tx>
            <c:strRef>
              <c:f>'5. Lüderitz Domestic Demand'!$F$31</c:f>
              <c:strCache>
                <c:ptCount val="1"/>
                <c:pt idx="0">
                  <c:v>Scenario 2</c:v>
                </c:pt>
              </c:strCache>
            </c:strRef>
          </c:tx>
          <c:spPr>
            <a:ln w="28575" cap="rnd">
              <a:solidFill>
                <a:schemeClr val="accent4"/>
              </a:solidFill>
              <a:round/>
            </a:ln>
            <a:effectLst/>
          </c:spPr>
          <c:marker>
            <c:symbol val="none"/>
          </c:marker>
          <c:val>
            <c:numRef>
              <c:f>'5. Lüderitz Domestic Demand'!$F$32:$F$57</c:f>
              <c:numCache>
                <c:formatCode>#,##0</c:formatCode>
                <c:ptCount val="26"/>
                <c:pt idx="0">
                  <c:v>806650</c:v>
                </c:pt>
                <c:pt idx="1">
                  <c:v>1009669.57</c:v>
                </c:pt>
                <c:pt idx="2">
                  <c:v>1064410.29097</c:v>
                </c:pt>
                <c:pt idx="3">
                  <c:v>1108400.10708037</c:v>
                </c:pt>
                <c:pt idx="4">
                  <c:v>1131676.5093290578</c:v>
                </c:pt>
                <c:pt idx="5">
                  <c:v>1918153.0160249679</c:v>
                </c:pt>
                <c:pt idx="6">
                  <c:v>2144514.1493614921</c:v>
                </c:pt>
                <c:pt idx="7">
                  <c:v>2189548.9464980834</c:v>
                </c:pt>
                <c:pt idx="8">
                  <c:v>2235529.4743745429</c:v>
                </c:pt>
                <c:pt idx="9">
                  <c:v>2468555.5133364084</c:v>
                </c:pt>
                <c:pt idx="10">
                  <c:v>2520395.1791164731</c:v>
                </c:pt>
                <c:pt idx="11">
                  <c:v>2573323.4778779191</c:v>
                </c:pt>
                <c:pt idx="12">
                  <c:v>2627363.2709133551</c:v>
                </c:pt>
                <c:pt idx="13">
                  <c:v>2682537.8996025356</c:v>
                </c:pt>
                <c:pt idx="14">
                  <c:v>2738871.1954941889</c:v>
                </c:pt>
                <c:pt idx="15">
                  <c:v>2796387.4905995671</c:v>
                </c:pt>
                <c:pt idx="16">
                  <c:v>2855111.6279021581</c:v>
                </c:pt>
                <c:pt idx="17">
                  <c:v>2915068.9720881032</c:v>
                </c:pt>
                <c:pt idx="18">
                  <c:v>2976285.4205019535</c:v>
                </c:pt>
                <c:pt idx="19">
                  <c:v>3038787.4143324946</c:v>
                </c:pt>
                <c:pt idx="20">
                  <c:v>3102601.950033477</c:v>
                </c:pt>
                <c:pt idx="21">
                  <c:v>3167756.5909841801</c:v>
                </c:pt>
                <c:pt idx="22">
                  <c:v>3234279.479394848</c:v>
                </c:pt>
                <c:pt idx="23">
                  <c:v>3302199.3484621393</c:v>
                </c:pt>
                <c:pt idx="24">
                  <c:v>3371545.5347798448</c:v>
                </c:pt>
                <c:pt idx="25">
                  <c:v>3442347.9910102212</c:v>
                </c:pt>
              </c:numCache>
            </c:numRef>
          </c:val>
          <c:smooth val="0"/>
          <c:extLst>
            <c:ext xmlns:c16="http://schemas.microsoft.com/office/drawing/2014/chart" uri="{C3380CC4-5D6E-409C-BE32-E72D297353CC}">
              <c16:uniqueId val="{00000003-4257-4C22-BFA3-DF46D8C0D29B}"/>
            </c:ext>
          </c:extLst>
        </c:ser>
        <c:ser>
          <c:idx val="4"/>
          <c:order val="3"/>
          <c:tx>
            <c:strRef>
              <c:f>'5. Lüderitz Domestic Demand'!$G$31</c:f>
              <c:strCache>
                <c:ptCount val="1"/>
                <c:pt idx="0">
                  <c:v>Scenario 3a</c:v>
                </c:pt>
              </c:strCache>
            </c:strRef>
          </c:tx>
          <c:spPr>
            <a:ln w="28575" cap="rnd">
              <a:solidFill>
                <a:schemeClr val="accent5"/>
              </a:solidFill>
              <a:round/>
            </a:ln>
            <a:effectLst/>
          </c:spPr>
          <c:marker>
            <c:symbol val="none"/>
          </c:marker>
          <c:val>
            <c:numRef>
              <c:f>'5. Lüderitz Domestic Demand'!$G$32:$G$57</c:f>
              <c:numCache>
                <c:formatCode>#,##0</c:formatCode>
                <c:ptCount val="26"/>
                <c:pt idx="0">
                  <c:v>806650</c:v>
                </c:pt>
                <c:pt idx="1">
                  <c:v>1009669.57</c:v>
                </c:pt>
                <c:pt idx="2">
                  <c:v>1776160.29097</c:v>
                </c:pt>
                <c:pt idx="3">
                  <c:v>1835096.8570803702</c:v>
                </c:pt>
                <c:pt idx="4">
                  <c:v>1873633.8910790582</c:v>
                </c:pt>
                <c:pt idx="5">
                  <c:v>1918389.5027917183</c:v>
                </c:pt>
                <c:pt idx="6">
                  <c:v>2144755.6023503444</c:v>
                </c:pt>
                <c:pt idx="7">
                  <c:v>2189795.4699997013</c:v>
                </c:pt>
                <c:pt idx="8">
                  <c:v>2235781.1748696952</c:v>
                </c:pt>
                <c:pt idx="9">
                  <c:v>1899412.4995419586</c:v>
                </c:pt>
                <c:pt idx="10">
                  <c:v>1939300.1620323397</c:v>
                </c:pt>
                <c:pt idx="11">
                  <c:v>1980025.465435019</c:v>
                </c:pt>
                <c:pt idx="12">
                  <c:v>2021606.0002091546</c:v>
                </c:pt>
                <c:pt idx="13">
                  <c:v>2064059.7262135467</c:v>
                </c:pt>
                <c:pt idx="14">
                  <c:v>2107404.9804640315</c:v>
                </c:pt>
                <c:pt idx="15">
                  <c:v>2151660.4850537763</c:v>
                </c:pt>
                <c:pt idx="16">
                  <c:v>2196845.3552399054</c:v>
                </c:pt>
                <c:pt idx="17">
                  <c:v>2242979.1076999432</c:v>
                </c:pt>
                <c:pt idx="18">
                  <c:v>2290081.6689616423</c:v>
                </c:pt>
                <c:pt idx="19">
                  <c:v>2338173.3840098367</c:v>
                </c:pt>
                <c:pt idx="20">
                  <c:v>2387275.0250740433</c:v>
                </c:pt>
                <c:pt idx="21">
                  <c:v>2437407.8006005986</c:v>
                </c:pt>
                <c:pt idx="22">
                  <c:v>2488593.3644132111</c:v>
                </c:pt>
                <c:pt idx="23">
                  <c:v>2540853.8250658885</c:v>
                </c:pt>
                <c:pt idx="24">
                  <c:v>2594211.7553922716</c:v>
                </c:pt>
                <c:pt idx="25">
                  <c:v>2648690.2022555093</c:v>
                </c:pt>
              </c:numCache>
            </c:numRef>
          </c:val>
          <c:smooth val="0"/>
          <c:extLst>
            <c:ext xmlns:c16="http://schemas.microsoft.com/office/drawing/2014/chart" uri="{C3380CC4-5D6E-409C-BE32-E72D297353CC}">
              <c16:uniqueId val="{00000004-4257-4C22-BFA3-DF46D8C0D29B}"/>
            </c:ext>
          </c:extLst>
        </c:ser>
        <c:ser>
          <c:idx val="5"/>
          <c:order val="4"/>
          <c:tx>
            <c:strRef>
              <c:f>'5. Lüderitz Domestic Demand'!$H$31</c:f>
              <c:strCache>
                <c:ptCount val="1"/>
                <c:pt idx="0">
                  <c:v>Scenario 3b</c:v>
                </c:pt>
              </c:strCache>
            </c:strRef>
          </c:tx>
          <c:spPr>
            <a:ln w="28575" cap="rnd">
              <a:solidFill>
                <a:schemeClr val="accent6"/>
              </a:solidFill>
              <a:round/>
            </a:ln>
            <a:effectLst/>
          </c:spPr>
          <c:marker>
            <c:symbol val="none"/>
          </c:marker>
          <c:val>
            <c:numRef>
              <c:f>'5. Lüderitz Domestic Demand'!$H$32:$H$57</c:f>
              <c:numCache>
                <c:formatCode>#,##0</c:formatCode>
                <c:ptCount val="26"/>
                <c:pt idx="0">
                  <c:v>806650</c:v>
                </c:pt>
                <c:pt idx="1">
                  <c:v>1009669.57</c:v>
                </c:pt>
                <c:pt idx="2">
                  <c:v>2687200.29097</c:v>
                </c:pt>
                <c:pt idx="3">
                  <c:v>2765268.69708037</c:v>
                </c:pt>
                <c:pt idx="4">
                  <c:v>2823339.339719058</c:v>
                </c:pt>
                <c:pt idx="5">
                  <c:v>2888038.7658531582</c:v>
                </c:pt>
                <c:pt idx="6">
                  <c:v>3134767.4999360745</c:v>
                </c:pt>
                <c:pt idx="7">
                  <c:v>3200597.6174347317</c:v>
                </c:pt>
                <c:pt idx="8">
                  <c:v>3267810.1674008607</c:v>
                </c:pt>
                <c:pt idx="9">
                  <c:v>3847072.1009162795</c:v>
                </c:pt>
                <c:pt idx="10">
                  <c:v>3927860.6150355213</c:v>
                </c:pt>
                <c:pt idx="11">
                  <c:v>4010345.6879512672</c:v>
                </c:pt>
                <c:pt idx="12">
                  <c:v>4094562.9473982439</c:v>
                </c:pt>
                <c:pt idx="13">
                  <c:v>4180548.7692936067</c:v>
                </c:pt>
                <c:pt idx="14">
                  <c:v>4268340.2934487723</c:v>
                </c:pt>
                <c:pt idx="15">
                  <c:v>4357975.4396111965</c:v>
                </c:pt>
                <c:pt idx="16">
                  <c:v>4449492.9238430317</c:v>
                </c:pt>
                <c:pt idx="17">
                  <c:v>4542932.2752437359</c:v>
                </c:pt>
                <c:pt idx="18">
                  <c:v>4638333.8530238541</c:v>
                </c:pt>
                <c:pt idx="19">
                  <c:v>4735738.8639373546</c:v>
                </c:pt>
                <c:pt idx="20">
                  <c:v>4835189.3800800396</c:v>
                </c:pt>
                <c:pt idx="21">
                  <c:v>4936728.3570617205</c:v>
                </c:pt>
                <c:pt idx="22">
                  <c:v>5040399.6525600171</c:v>
                </c:pt>
                <c:pt idx="23">
                  <c:v>5146248.0452637766</c:v>
                </c:pt>
                <c:pt idx="24">
                  <c:v>5254319.2542143166</c:v>
                </c:pt>
                <c:pt idx="25">
                  <c:v>5364659.9585528169</c:v>
                </c:pt>
              </c:numCache>
            </c:numRef>
          </c:val>
          <c:smooth val="0"/>
          <c:extLst>
            <c:ext xmlns:c16="http://schemas.microsoft.com/office/drawing/2014/chart" uri="{C3380CC4-5D6E-409C-BE32-E72D297353CC}">
              <c16:uniqueId val="{00000005-4257-4C22-BFA3-DF46D8C0D29B}"/>
            </c:ext>
          </c:extLst>
        </c:ser>
        <c:ser>
          <c:idx val="6"/>
          <c:order val="5"/>
          <c:tx>
            <c:strRef>
              <c:f>'5. Lüderitz Domestic Demand'!$I$31</c:f>
              <c:strCache>
                <c:ptCount val="1"/>
                <c:pt idx="0">
                  <c:v>Scenario 4a</c:v>
                </c:pt>
              </c:strCache>
            </c:strRef>
          </c:tx>
          <c:spPr>
            <a:ln w="28575" cap="rnd">
              <a:solidFill>
                <a:schemeClr val="accent1">
                  <a:lumMod val="60000"/>
                </a:schemeClr>
              </a:solidFill>
              <a:round/>
            </a:ln>
            <a:effectLst/>
          </c:spPr>
          <c:marker>
            <c:symbol val="none"/>
          </c:marker>
          <c:val>
            <c:numRef>
              <c:f>'5. Lüderitz Domestic Demand'!$I$32:$I$57</c:f>
              <c:numCache>
                <c:formatCode>#,##0</c:formatCode>
                <c:ptCount val="26"/>
                <c:pt idx="0">
                  <c:v>806650</c:v>
                </c:pt>
                <c:pt idx="1">
                  <c:v>1009669.57</c:v>
                </c:pt>
                <c:pt idx="2">
                  <c:v>1776160.29097</c:v>
                </c:pt>
                <c:pt idx="3">
                  <c:v>1835096.8570803702</c:v>
                </c:pt>
                <c:pt idx="4">
                  <c:v>1873633.8910790582</c:v>
                </c:pt>
                <c:pt idx="5">
                  <c:v>2675691.5027917186</c:v>
                </c:pt>
                <c:pt idx="6">
                  <c:v>2917960.9443503446</c:v>
                </c:pt>
                <c:pt idx="7">
                  <c:v>2979238.1241817018</c:v>
                </c:pt>
                <c:pt idx="8">
                  <c:v>3041802.1247895178</c:v>
                </c:pt>
                <c:pt idx="9">
                  <c:v>2722359.8894100976</c:v>
                </c:pt>
                <c:pt idx="10">
                  <c:v>2779529.4470877103</c:v>
                </c:pt>
                <c:pt idx="11">
                  <c:v>2837899.5654765521</c:v>
                </c:pt>
                <c:pt idx="12">
                  <c:v>2897495.4563515596</c:v>
                </c:pt>
                <c:pt idx="13">
                  <c:v>2958342.8609349425</c:v>
                </c:pt>
                <c:pt idx="14">
                  <c:v>3020468.0610145763</c:v>
                </c:pt>
                <c:pt idx="15">
                  <c:v>3083897.8902958822</c:v>
                </c:pt>
                <c:pt idx="16">
                  <c:v>3148659.7459920961</c:v>
                </c:pt>
                <c:pt idx="17">
                  <c:v>3214781.6006579301</c:v>
                </c:pt>
                <c:pt idx="18">
                  <c:v>3282292.0142717469</c:v>
                </c:pt>
                <c:pt idx="19">
                  <c:v>3351220.1465714537</c:v>
                </c:pt>
                <c:pt idx="20">
                  <c:v>3421595.7696494539</c:v>
                </c:pt>
                <c:pt idx="21">
                  <c:v>3493449.2808120926</c:v>
                </c:pt>
                <c:pt idx="22">
                  <c:v>3566811.7157091466</c:v>
                </c:pt>
                <c:pt idx="23">
                  <c:v>3641714.7617390389</c:v>
                </c:pt>
                <c:pt idx="24">
                  <c:v>3718190.7717355592</c:v>
                </c:pt>
                <c:pt idx="25">
                  <c:v>3796272.777942006</c:v>
                </c:pt>
              </c:numCache>
            </c:numRef>
          </c:val>
          <c:smooth val="0"/>
          <c:extLst>
            <c:ext xmlns:c16="http://schemas.microsoft.com/office/drawing/2014/chart" uri="{C3380CC4-5D6E-409C-BE32-E72D297353CC}">
              <c16:uniqueId val="{00000006-4257-4C22-BFA3-DF46D8C0D29B}"/>
            </c:ext>
          </c:extLst>
        </c:ser>
        <c:ser>
          <c:idx val="7"/>
          <c:order val="6"/>
          <c:tx>
            <c:strRef>
              <c:f>'5. Lüderitz Domestic Demand'!$J$31</c:f>
              <c:strCache>
                <c:ptCount val="1"/>
                <c:pt idx="0">
                  <c:v>Scenario 4b</c:v>
                </c:pt>
              </c:strCache>
            </c:strRef>
          </c:tx>
          <c:spPr>
            <a:ln w="28575" cap="rnd">
              <a:solidFill>
                <a:schemeClr val="accent2">
                  <a:lumMod val="60000"/>
                </a:schemeClr>
              </a:solidFill>
              <a:round/>
            </a:ln>
            <a:effectLst/>
          </c:spPr>
          <c:marker>
            <c:symbol val="none"/>
          </c:marker>
          <c:val>
            <c:numRef>
              <c:f>'5. Lüderitz Domestic Demand'!$J$32:$J$57</c:f>
              <c:numCache>
                <c:formatCode>#,##0</c:formatCode>
                <c:ptCount val="26"/>
                <c:pt idx="0">
                  <c:v>806650</c:v>
                </c:pt>
                <c:pt idx="1">
                  <c:v>1009669.57</c:v>
                </c:pt>
                <c:pt idx="2">
                  <c:v>2687200.29097</c:v>
                </c:pt>
                <c:pt idx="3">
                  <c:v>2765268.69708037</c:v>
                </c:pt>
                <c:pt idx="4">
                  <c:v>2823339.339719058</c:v>
                </c:pt>
                <c:pt idx="5">
                  <c:v>3645340.7658531577</c:v>
                </c:pt>
                <c:pt idx="6">
                  <c:v>3907972.8419360747</c:v>
                </c:pt>
                <c:pt idx="7">
                  <c:v>3990040.2716167322</c:v>
                </c:pt>
                <c:pt idx="8">
                  <c:v>4073831.1173206833</c:v>
                </c:pt>
                <c:pt idx="9">
                  <c:v>4670019.4907844178</c:v>
                </c:pt>
                <c:pt idx="10">
                  <c:v>4768089.9000908909</c:v>
                </c:pt>
                <c:pt idx="11">
                  <c:v>4868219.7879927997</c:v>
                </c:pt>
                <c:pt idx="12">
                  <c:v>4970452.4035406485</c:v>
                </c:pt>
                <c:pt idx="13">
                  <c:v>5074831.9040150018</c:v>
                </c:pt>
                <c:pt idx="14">
                  <c:v>5181403.3739993172</c:v>
                </c:pt>
                <c:pt idx="15">
                  <c:v>5290212.8448533025</c:v>
                </c:pt>
                <c:pt idx="16">
                  <c:v>5401307.3145952225</c:v>
                </c:pt>
                <c:pt idx="17">
                  <c:v>5514734.7682017218</c:v>
                </c:pt>
                <c:pt idx="18">
                  <c:v>5630544.1983339582</c:v>
                </c:pt>
                <c:pt idx="19">
                  <c:v>5748785.6264989721</c:v>
                </c:pt>
                <c:pt idx="20">
                  <c:v>5869510.1246554507</c:v>
                </c:pt>
                <c:pt idx="21">
                  <c:v>5992769.8372732149</c:v>
                </c:pt>
                <c:pt idx="22">
                  <c:v>6118618.003855953</c:v>
                </c:pt>
                <c:pt idx="23">
                  <c:v>6247108.9819369279</c:v>
                </c:pt>
                <c:pt idx="24">
                  <c:v>6378298.2705576029</c:v>
                </c:pt>
                <c:pt idx="25">
                  <c:v>6512242.5342393126</c:v>
                </c:pt>
              </c:numCache>
            </c:numRef>
          </c:val>
          <c:smooth val="0"/>
          <c:extLst>
            <c:ext xmlns:c16="http://schemas.microsoft.com/office/drawing/2014/chart" uri="{C3380CC4-5D6E-409C-BE32-E72D297353CC}">
              <c16:uniqueId val="{00000007-4257-4C22-BFA3-DF46D8C0D29B}"/>
            </c:ext>
          </c:extLst>
        </c:ser>
        <c:ser>
          <c:idx val="8"/>
          <c:order val="7"/>
          <c:tx>
            <c:strRef>
              <c:f>'5. Lüderitz Domestic Demand'!$K$31</c:f>
              <c:strCache>
                <c:ptCount val="1"/>
                <c:pt idx="0">
                  <c:v>Scenario 5a</c:v>
                </c:pt>
              </c:strCache>
            </c:strRef>
          </c:tx>
          <c:spPr>
            <a:ln w="28575" cap="rnd">
              <a:solidFill>
                <a:schemeClr val="accent3">
                  <a:lumMod val="60000"/>
                </a:schemeClr>
              </a:solidFill>
              <a:round/>
            </a:ln>
            <a:effectLst/>
          </c:spPr>
          <c:marker>
            <c:symbol val="none"/>
          </c:marker>
          <c:val>
            <c:numRef>
              <c:f>'5. Lüderitz Domestic Demand'!$K$32:$K$57</c:f>
              <c:numCache>
                <c:formatCode>#,##0</c:formatCode>
                <c:ptCount val="26"/>
                <c:pt idx="0">
                  <c:v>806650</c:v>
                </c:pt>
                <c:pt idx="1">
                  <c:v>1009669.57</c:v>
                </c:pt>
                <c:pt idx="2">
                  <c:v>2687200.29097</c:v>
                </c:pt>
                <c:pt idx="3">
                  <c:v>2765268.69708037</c:v>
                </c:pt>
                <c:pt idx="4">
                  <c:v>2823339.339719058</c:v>
                </c:pt>
                <c:pt idx="5">
                  <c:v>3645340.7658531577</c:v>
                </c:pt>
                <c:pt idx="6">
                  <c:v>3907972.8419360747</c:v>
                </c:pt>
                <c:pt idx="7">
                  <c:v>3990040.2716167322</c:v>
                </c:pt>
                <c:pt idx="8">
                  <c:v>4073831.1173206833</c:v>
                </c:pt>
                <c:pt idx="9">
                  <c:v>4670019.4907844178</c:v>
                </c:pt>
                <c:pt idx="10">
                  <c:v>4768089.9000908909</c:v>
                </c:pt>
                <c:pt idx="11">
                  <c:v>4868219.7879927997</c:v>
                </c:pt>
                <c:pt idx="12">
                  <c:v>4970452.4035406485</c:v>
                </c:pt>
                <c:pt idx="13">
                  <c:v>5074831.9040150018</c:v>
                </c:pt>
                <c:pt idx="14">
                  <c:v>5181403.3739993172</c:v>
                </c:pt>
                <c:pt idx="15">
                  <c:v>5290212.8448533025</c:v>
                </c:pt>
                <c:pt idx="16">
                  <c:v>5401307.3145952225</c:v>
                </c:pt>
                <c:pt idx="17">
                  <c:v>5657084.7682017218</c:v>
                </c:pt>
                <c:pt idx="18">
                  <c:v>5775883.5483339587</c:v>
                </c:pt>
                <c:pt idx="19">
                  <c:v>5897177.1028489713</c:v>
                </c:pt>
                <c:pt idx="20">
                  <c:v>6021017.8220087998</c:v>
                </c:pt>
                <c:pt idx="21">
                  <c:v>6147459.1962709846</c:v>
                </c:pt>
                <c:pt idx="22">
                  <c:v>6276555.8393926751</c:v>
                </c:pt>
                <c:pt idx="23">
                  <c:v>6408363.5120199202</c:v>
                </c:pt>
                <c:pt idx="24">
                  <c:v>6542939.1457723388</c:v>
                </c:pt>
                <c:pt idx="25">
                  <c:v>6680340.8678335575</c:v>
                </c:pt>
              </c:numCache>
            </c:numRef>
          </c:val>
          <c:smooth val="0"/>
          <c:extLst>
            <c:ext xmlns:c16="http://schemas.microsoft.com/office/drawing/2014/chart" uri="{C3380CC4-5D6E-409C-BE32-E72D297353CC}">
              <c16:uniqueId val="{00000008-4257-4C22-BFA3-DF46D8C0D29B}"/>
            </c:ext>
          </c:extLst>
        </c:ser>
        <c:ser>
          <c:idx val="9"/>
          <c:order val="8"/>
          <c:tx>
            <c:strRef>
              <c:f>'5. Lüderitz Domestic Demand'!$L$31</c:f>
              <c:strCache>
                <c:ptCount val="1"/>
                <c:pt idx="0">
                  <c:v>Scenario 5b</c:v>
                </c:pt>
              </c:strCache>
            </c:strRef>
          </c:tx>
          <c:spPr>
            <a:ln w="28575" cap="rnd">
              <a:solidFill>
                <a:schemeClr val="accent4">
                  <a:lumMod val="60000"/>
                </a:schemeClr>
              </a:solidFill>
              <a:round/>
            </a:ln>
            <a:effectLst/>
          </c:spPr>
          <c:marker>
            <c:symbol val="none"/>
          </c:marker>
          <c:val>
            <c:numRef>
              <c:f>'5. Lüderitz Domestic Demand'!$L$32:$L$57</c:f>
              <c:numCache>
                <c:formatCode>#,##0</c:formatCode>
                <c:ptCount val="26"/>
                <c:pt idx="0">
                  <c:v>806650</c:v>
                </c:pt>
                <c:pt idx="1">
                  <c:v>1009669.57</c:v>
                </c:pt>
                <c:pt idx="2">
                  <c:v>2687200.29097</c:v>
                </c:pt>
                <c:pt idx="3">
                  <c:v>2765268.69708037</c:v>
                </c:pt>
                <c:pt idx="4">
                  <c:v>2823339.339719058</c:v>
                </c:pt>
                <c:pt idx="5">
                  <c:v>3645340.7658531577</c:v>
                </c:pt>
                <c:pt idx="6">
                  <c:v>3907972.8419360747</c:v>
                </c:pt>
                <c:pt idx="7">
                  <c:v>3990040.2716167322</c:v>
                </c:pt>
                <c:pt idx="8">
                  <c:v>4073831.1173206833</c:v>
                </c:pt>
                <c:pt idx="9">
                  <c:v>4670019.4907844178</c:v>
                </c:pt>
                <c:pt idx="10">
                  <c:v>4768089.9000908909</c:v>
                </c:pt>
                <c:pt idx="11">
                  <c:v>4868219.7879927997</c:v>
                </c:pt>
                <c:pt idx="12">
                  <c:v>4970452.4035406485</c:v>
                </c:pt>
                <c:pt idx="13">
                  <c:v>5074831.9040150018</c:v>
                </c:pt>
                <c:pt idx="14">
                  <c:v>5181403.3739993172</c:v>
                </c:pt>
                <c:pt idx="15">
                  <c:v>5290212.8448533025</c:v>
                </c:pt>
                <c:pt idx="16">
                  <c:v>5401307.3145952225</c:v>
                </c:pt>
                <c:pt idx="17">
                  <c:v>5839292.7682017218</c:v>
                </c:pt>
                <c:pt idx="18">
                  <c:v>5961917.9163339585</c:v>
                </c:pt>
                <c:pt idx="19">
                  <c:v>6087118.1925769718</c:v>
                </c:pt>
                <c:pt idx="20">
                  <c:v>6214947.6746210875</c:v>
                </c:pt>
                <c:pt idx="21">
                  <c:v>6345461.575788131</c:v>
                </c:pt>
                <c:pt idx="22">
                  <c:v>6478716.2688796809</c:v>
                </c:pt>
                <c:pt idx="23">
                  <c:v>6614769.310526154</c:v>
                </c:pt>
                <c:pt idx="24">
                  <c:v>6753679.4660472032</c:v>
                </c:pt>
                <c:pt idx="25">
                  <c:v>6895506.7348341951</c:v>
                </c:pt>
              </c:numCache>
            </c:numRef>
          </c:val>
          <c:smooth val="0"/>
          <c:extLst>
            <c:ext xmlns:c16="http://schemas.microsoft.com/office/drawing/2014/chart" uri="{C3380CC4-5D6E-409C-BE32-E72D297353CC}">
              <c16:uniqueId val="{00000009-4257-4C22-BFA3-DF46D8C0D29B}"/>
            </c:ext>
          </c:extLst>
        </c:ser>
        <c:ser>
          <c:idx val="0"/>
          <c:order val="0"/>
          <c:tx>
            <c:strRef>
              <c:f>'5. Lüderitz Domestic Demand'!$C$31</c:f>
              <c:strCache>
                <c:ptCount val="1"/>
                <c:pt idx="0">
                  <c:v>Curent Population Growth Rate</c:v>
                </c:pt>
              </c:strCache>
            </c:strRef>
          </c:tx>
          <c:spPr>
            <a:ln w="28575" cap="rnd">
              <a:solidFill>
                <a:schemeClr val="accent1"/>
              </a:solidFill>
              <a:round/>
            </a:ln>
            <a:effectLst/>
          </c:spPr>
          <c:marker>
            <c:symbol val="none"/>
          </c:marker>
          <c:cat>
            <c:numRef>
              <c:f>'5. Lüderitz Domestic Demand'!$N$32:$N$57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'5. Lüderitz Domestic Demand'!$C$32:$C$57</c:f>
              <c:numCache>
                <c:formatCode>#,##0</c:formatCode>
                <c:ptCount val="26"/>
                <c:pt idx="0">
                  <c:v>806650</c:v>
                </c:pt>
                <c:pt idx="1">
                  <c:v>823589.65</c:v>
                </c:pt>
                <c:pt idx="2">
                  <c:v>840885.03265000007</c:v>
                </c:pt>
                <c:pt idx="3">
                  <c:v>858543.61833565007</c:v>
                </c:pt>
                <c:pt idx="4">
                  <c:v>876573.0343206987</c:v>
                </c:pt>
                <c:pt idx="5">
                  <c:v>894981.06804143335</c:v>
                </c:pt>
                <c:pt idx="6">
                  <c:v>913775.67047030351</c:v>
                </c:pt>
                <c:pt idx="7">
                  <c:v>932964.95955017977</c:v>
                </c:pt>
                <c:pt idx="8">
                  <c:v>952557.22370073362</c:v>
                </c:pt>
                <c:pt idx="9">
                  <c:v>972560.92539844906</c:v>
                </c:pt>
                <c:pt idx="10">
                  <c:v>992984.70483181661</c:v>
                </c:pt>
                <c:pt idx="11">
                  <c:v>1013837.3836332847</c:v>
                </c:pt>
                <c:pt idx="12">
                  <c:v>1035127.9686895837</c:v>
                </c:pt>
                <c:pt idx="13">
                  <c:v>1056865.6560320649</c:v>
                </c:pt>
                <c:pt idx="14">
                  <c:v>1079059.8348087382</c:v>
                </c:pt>
                <c:pt idx="15">
                  <c:v>1101720.0913397218</c:v>
                </c:pt>
                <c:pt idx="16">
                  <c:v>1124856.213257856</c:v>
                </c:pt>
                <c:pt idx="17">
                  <c:v>1148478.193736271</c:v>
                </c:pt>
                <c:pt idx="18">
                  <c:v>1172596.2358047327</c:v>
                </c:pt>
                <c:pt idx="19">
                  <c:v>1197220.7567566321</c:v>
                </c:pt>
                <c:pt idx="20">
                  <c:v>1222362.3926485213</c:v>
                </c:pt>
                <c:pt idx="21">
                  <c:v>1248032.0028941403</c:v>
                </c:pt>
                <c:pt idx="22">
                  <c:v>1274240.6749549173</c:v>
                </c:pt>
                <c:pt idx="23">
                  <c:v>1300999.7291289705</c:v>
                </c:pt>
                <c:pt idx="24">
                  <c:v>1328320.7234406788</c:v>
                </c:pt>
                <c:pt idx="25">
                  <c:v>1356215.4586329332</c:v>
                </c:pt>
              </c:numCache>
            </c:numRef>
          </c:val>
          <c:smooth val="0"/>
          <c:extLst>
            <c:ext xmlns:c16="http://schemas.microsoft.com/office/drawing/2014/chart" uri="{C3380CC4-5D6E-409C-BE32-E72D297353CC}">
              <c16:uniqueId val="{00000000-4257-4C22-BFA3-DF46D8C0D29B}"/>
            </c:ext>
          </c:extLst>
        </c:ser>
        <c:dLbls>
          <c:showLegendKey val="0"/>
          <c:showVal val="0"/>
          <c:showCatName val="0"/>
          <c:showSerName val="0"/>
          <c:showPercent val="0"/>
          <c:showBubbleSize val="0"/>
        </c:dLbls>
        <c:smooth val="0"/>
        <c:axId val="1181768848"/>
        <c:axId val="1181759728"/>
      </c:lineChart>
      <c:catAx>
        <c:axId val="1181768848"/>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181759728"/>
        <c:crosses val="autoZero"/>
        <c:auto val="1"/>
        <c:lblAlgn val="ctr"/>
        <c:lblOffset val="100"/>
        <c:noMultiLvlLbl val="0"/>
      </c:catAx>
      <c:valAx>
        <c:axId val="1181759728"/>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e-DE"/>
                  <a:t>Domestic Water Demand [m3/year]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18176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de-DE" b="1"/>
              <a:t>Figure 2: Unmet Domestic Water Demand [m3/year]</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v>Scenario 1 &amp; 3a</c:v>
          </c:tx>
          <c:spPr>
            <a:ln w="28575" cap="rnd">
              <a:solidFill>
                <a:schemeClr val="accent1"/>
              </a:solidFill>
              <a:round/>
            </a:ln>
            <a:effectLst/>
          </c:spPr>
          <c:marker>
            <c:symbol val="none"/>
          </c:marker>
          <c:cat>
            <c:numRef>
              <c:f>'5. Lüderitz Domestic Demand'!$N$32:$N$57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'5. Lüderitz Domestic Demand'!$O$32:$O$57</c:f>
              <c:numCache>
                <c:formatCode>#,##0</c:formatCode>
                <c:ptCount val="26"/>
                <c:pt idx="0">
                  <c:v>806650</c:v>
                </c:pt>
                <c:pt idx="1">
                  <c:v>1009669.57</c:v>
                </c:pt>
                <c:pt idx="2">
                  <c:v>1064410.29097</c:v>
                </c:pt>
                <c:pt idx="3">
                  <c:v>1108400.10708037</c:v>
                </c:pt>
                <c:pt idx="4">
                  <c:v>1131676.5093290578</c:v>
                </c:pt>
                <c:pt idx="5">
                  <c:v>1160851.0160249679</c:v>
                </c:pt>
                <c:pt idx="6">
                  <c:v>1371308.8073614922</c:v>
                </c:pt>
                <c:pt idx="7">
                  <c:v>1400106.2923160836</c:v>
                </c:pt>
                <c:pt idx="8">
                  <c:v>1429508.5244547212</c:v>
                </c:pt>
                <c:pt idx="9">
                  <c:v>1645608.1234682705</c:v>
                </c:pt>
                <c:pt idx="10">
                  <c:v>1680165.8940611042</c:v>
                </c:pt>
                <c:pt idx="11">
                  <c:v>1715449.3778363874</c:v>
                </c:pt>
                <c:pt idx="12">
                  <c:v>1751473.8147709516</c:v>
                </c:pt>
                <c:pt idx="13">
                  <c:v>1788254.7648811417</c:v>
                </c:pt>
                <c:pt idx="14">
                  <c:v>1825808.1149436459</c:v>
                </c:pt>
                <c:pt idx="15">
                  <c:v>1864150.0853574625</c:v>
                </c:pt>
                <c:pt idx="16">
                  <c:v>1903297.2371499692</c:v>
                </c:pt>
                <c:pt idx="17">
                  <c:v>1943266.4791301184</c:v>
                </c:pt>
                <c:pt idx="18">
                  <c:v>1984075.075191851</c:v>
                </c:pt>
                <c:pt idx="19">
                  <c:v>2025740.6517708797</c:v>
                </c:pt>
                <c:pt idx="20">
                  <c:v>2068281.2054580683</c:v>
                </c:pt>
                <c:pt idx="21">
                  <c:v>2111715.1107726875</c:v>
                </c:pt>
                <c:pt idx="22">
                  <c:v>2156061.1280989139</c:v>
                </c:pt>
                <c:pt idx="23">
                  <c:v>2201338.4117889912</c:v>
                </c:pt>
                <c:pt idx="24">
                  <c:v>2247566.5184365599</c:v>
                </c:pt>
                <c:pt idx="25">
                  <c:v>2294765.4153237278</c:v>
                </c:pt>
              </c:numCache>
            </c:numRef>
          </c:val>
          <c:smooth val="0"/>
          <c:extLst>
            <c:ext xmlns:c16="http://schemas.microsoft.com/office/drawing/2014/chart" uri="{C3380CC4-5D6E-409C-BE32-E72D297353CC}">
              <c16:uniqueId val="{00000000-767B-404D-947C-401F7C2714B0}"/>
            </c:ext>
          </c:extLst>
        </c:ser>
        <c:ser>
          <c:idx val="1"/>
          <c:order val="1"/>
          <c:tx>
            <c:v>Scenario 2 &amp; 4a</c:v>
          </c:tx>
          <c:spPr>
            <a:ln w="28575" cap="rnd">
              <a:solidFill>
                <a:schemeClr val="accent2"/>
              </a:solidFill>
              <a:round/>
            </a:ln>
            <a:effectLst/>
          </c:spPr>
          <c:marker>
            <c:symbol val="none"/>
          </c:marker>
          <c:cat>
            <c:numRef>
              <c:f>'5. Lüderitz Domestic Demand'!$N$32:$N$57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'5. Lüderitz Domestic Demand'!$P$32:$P$57</c:f>
              <c:numCache>
                <c:formatCode>#,##0</c:formatCode>
                <c:ptCount val="26"/>
                <c:pt idx="0">
                  <c:v>806650</c:v>
                </c:pt>
                <c:pt idx="1">
                  <c:v>1009669.57</c:v>
                </c:pt>
                <c:pt idx="2">
                  <c:v>1064410.29097</c:v>
                </c:pt>
                <c:pt idx="3">
                  <c:v>1108400.10708037</c:v>
                </c:pt>
                <c:pt idx="4">
                  <c:v>1131676.5093290578</c:v>
                </c:pt>
                <c:pt idx="5">
                  <c:v>1918153.0160249679</c:v>
                </c:pt>
                <c:pt idx="6">
                  <c:v>2144514.1493614921</c:v>
                </c:pt>
                <c:pt idx="7">
                  <c:v>2189548.9464980834</c:v>
                </c:pt>
                <c:pt idx="8">
                  <c:v>2235529.4743745429</c:v>
                </c:pt>
                <c:pt idx="9">
                  <c:v>2468555.5133364084</c:v>
                </c:pt>
                <c:pt idx="10">
                  <c:v>2520395.1791164731</c:v>
                </c:pt>
                <c:pt idx="11">
                  <c:v>2573323.4778779191</c:v>
                </c:pt>
                <c:pt idx="12">
                  <c:v>2627363.2709133551</c:v>
                </c:pt>
                <c:pt idx="13">
                  <c:v>2682537.8996025356</c:v>
                </c:pt>
                <c:pt idx="14">
                  <c:v>2738871.1954941889</c:v>
                </c:pt>
                <c:pt idx="15">
                  <c:v>2796387.4905995671</c:v>
                </c:pt>
                <c:pt idx="16">
                  <c:v>2855111.6279021581</c:v>
                </c:pt>
                <c:pt idx="17">
                  <c:v>2915068.9720881032</c:v>
                </c:pt>
                <c:pt idx="18">
                  <c:v>2976285.4205019535</c:v>
                </c:pt>
                <c:pt idx="19">
                  <c:v>3038787.4143324946</c:v>
                </c:pt>
                <c:pt idx="20">
                  <c:v>3102601.950033477</c:v>
                </c:pt>
                <c:pt idx="21">
                  <c:v>3167756.5909841801</c:v>
                </c:pt>
                <c:pt idx="22">
                  <c:v>3234279.479394848</c:v>
                </c:pt>
                <c:pt idx="23">
                  <c:v>3302199.3484621393</c:v>
                </c:pt>
                <c:pt idx="24">
                  <c:v>3371545.5347798448</c:v>
                </c:pt>
                <c:pt idx="25">
                  <c:v>3442347.9910102212</c:v>
                </c:pt>
              </c:numCache>
            </c:numRef>
          </c:val>
          <c:smooth val="0"/>
          <c:extLst>
            <c:ext xmlns:c16="http://schemas.microsoft.com/office/drawing/2014/chart" uri="{C3380CC4-5D6E-409C-BE32-E72D297353CC}">
              <c16:uniqueId val="{00000001-767B-404D-947C-401F7C2714B0}"/>
            </c:ext>
          </c:extLst>
        </c:ser>
        <c:ser>
          <c:idx val="3"/>
          <c:order val="2"/>
          <c:tx>
            <c:strRef>
              <c:f>'5. Lüderitz Domestic Demand'!$R$31</c:f>
              <c:strCache>
                <c:ptCount val="1"/>
                <c:pt idx="0">
                  <c:v>Scenario 3b</c:v>
                </c:pt>
              </c:strCache>
            </c:strRef>
          </c:tx>
          <c:spPr>
            <a:ln w="28575" cap="rnd">
              <a:solidFill>
                <a:schemeClr val="accent4"/>
              </a:solidFill>
              <a:round/>
            </a:ln>
            <a:effectLst/>
          </c:spPr>
          <c:marker>
            <c:symbol val="none"/>
          </c:marker>
          <c:cat>
            <c:numRef>
              <c:f>'5. Lüderitz Domestic Demand'!$N$32:$N$57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'5. Lüderitz Domestic Demand'!$R$32:$R$57</c:f>
              <c:numCache>
                <c:formatCode>#,##0</c:formatCode>
                <c:ptCount val="26"/>
                <c:pt idx="0">
                  <c:v>806650</c:v>
                </c:pt>
                <c:pt idx="1">
                  <c:v>1009669.57</c:v>
                </c:pt>
                <c:pt idx="2">
                  <c:v>2260150.29097</c:v>
                </c:pt>
                <c:pt idx="3">
                  <c:v>2329250.6470803702</c:v>
                </c:pt>
                <c:pt idx="4">
                  <c:v>2378164.9106690581</c:v>
                </c:pt>
                <c:pt idx="5">
                  <c:v>2433515.6737931082</c:v>
                </c:pt>
                <c:pt idx="6">
                  <c:v>2670699.4229427632</c:v>
                </c:pt>
                <c:pt idx="7">
                  <c:v>2726784.1108245612</c:v>
                </c:pt>
                <c:pt idx="8">
                  <c:v>2784046.5771518773</c:v>
                </c:pt>
                <c:pt idx="9">
                  <c:v>2071999.4752720667</c:v>
                </c:pt>
                <c:pt idx="10">
                  <c:v>2115511.4642527802</c:v>
                </c:pt>
                <c:pt idx="11">
                  <c:v>2159937.2050020886</c:v>
                </c:pt>
                <c:pt idx="12">
                  <c:v>2205295.8863071324</c:v>
                </c:pt>
                <c:pt idx="13">
                  <c:v>2251607.0999195823</c:v>
                </c:pt>
                <c:pt idx="14">
                  <c:v>2298890.8490178934</c:v>
                </c:pt>
                <c:pt idx="15">
                  <c:v>2347167.5568472692</c:v>
                </c:pt>
                <c:pt idx="16">
                  <c:v>2396458.0755410618</c:v>
                </c:pt>
                <c:pt idx="17">
                  <c:v>2446783.6951274239</c:v>
                </c:pt>
                <c:pt idx="18">
                  <c:v>2498166.1527251001</c:v>
                </c:pt>
                <c:pt idx="19">
                  <c:v>2550627.6419323268</c:v>
                </c:pt>
                <c:pt idx="20">
                  <c:v>2604190.8224129062</c:v>
                </c:pt>
                <c:pt idx="21">
                  <c:v>2658878.8296835772</c:v>
                </c:pt>
                <c:pt idx="22">
                  <c:v>2714715.2851069323</c:v>
                </c:pt>
                <c:pt idx="23">
                  <c:v>2771724.3060941775</c:v>
                </c:pt>
                <c:pt idx="24">
                  <c:v>2829930.5165221556</c:v>
                </c:pt>
                <c:pt idx="25">
                  <c:v>2889359.0573691204</c:v>
                </c:pt>
              </c:numCache>
            </c:numRef>
          </c:val>
          <c:smooth val="0"/>
          <c:extLst>
            <c:ext xmlns:c16="http://schemas.microsoft.com/office/drawing/2014/chart" uri="{C3380CC4-5D6E-409C-BE32-E72D297353CC}">
              <c16:uniqueId val="{00000003-767B-404D-947C-401F7C2714B0}"/>
            </c:ext>
          </c:extLst>
        </c:ser>
        <c:ser>
          <c:idx val="5"/>
          <c:order val="3"/>
          <c:tx>
            <c:strRef>
              <c:f>'5. Lüderitz Domestic Demand'!$T$31</c:f>
              <c:strCache>
                <c:ptCount val="1"/>
                <c:pt idx="0">
                  <c:v>Scenario 4b</c:v>
                </c:pt>
              </c:strCache>
            </c:strRef>
          </c:tx>
          <c:spPr>
            <a:ln w="28575" cap="rnd">
              <a:solidFill>
                <a:schemeClr val="accent6"/>
              </a:solidFill>
              <a:round/>
            </a:ln>
            <a:effectLst/>
          </c:spPr>
          <c:marker>
            <c:symbol val="none"/>
          </c:marker>
          <c:cat>
            <c:numRef>
              <c:f>'5. Lüderitz Domestic Demand'!$N$32:$N$57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'5. Lüderitz Domestic Demand'!$T$32:$T$57</c:f>
              <c:numCache>
                <c:formatCode>#,##0</c:formatCode>
                <c:ptCount val="26"/>
                <c:pt idx="0">
                  <c:v>806650</c:v>
                </c:pt>
                <c:pt idx="1">
                  <c:v>1009669.57</c:v>
                </c:pt>
                <c:pt idx="2">
                  <c:v>2260150.29097</c:v>
                </c:pt>
                <c:pt idx="3">
                  <c:v>2329250.6470803702</c:v>
                </c:pt>
                <c:pt idx="4">
                  <c:v>2378164.9106690581</c:v>
                </c:pt>
                <c:pt idx="5">
                  <c:v>3190817.6737931077</c:v>
                </c:pt>
                <c:pt idx="6">
                  <c:v>3443904.7649427634</c:v>
                </c:pt>
                <c:pt idx="7">
                  <c:v>3516226.7650065618</c:v>
                </c:pt>
                <c:pt idx="8">
                  <c:v>3590067.5270717</c:v>
                </c:pt>
                <c:pt idx="9">
                  <c:v>4090686.8651402062</c:v>
                </c:pt>
                <c:pt idx="10">
                  <c:v>4176591.2893081503</c:v>
                </c:pt>
                <c:pt idx="11">
                  <c:v>4264299.7063836213</c:v>
                </c:pt>
                <c:pt idx="12">
                  <c:v>4353850.000217678</c:v>
                </c:pt>
                <c:pt idx="13">
                  <c:v>4445280.8502222486</c:v>
                </c:pt>
                <c:pt idx="14">
                  <c:v>4538631.7480769167</c:v>
                </c:pt>
                <c:pt idx="15">
                  <c:v>4633943.0147865312</c:v>
                </c:pt>
                <c:pt idx="16">
                  <c:v>4731255.8180970484</c:v>
                </c:pt>
                <c:pt idx="17">
                  <c:v>4830612.1902770866</c:v>
                </c:pt>
                <c:pt idx="18">
                  <c:v>4932055.0462729055</c:v>
                </c:pt>
                <c:pt idx="19">
                  <c:v>5035628.2022446366</c:v>
                </c:pt>
                <c:pt idx="20">
                  <c:v>5141376.394491774</c:v>
                </c:pt>
                <c:pt idx="21">
                  <c:v>5249345.2987761013</c:v>
                </c:pt>
                <c:pt idx="22">
                  <c:v>5359581.5500503993</c:v>
                </c:pt>
                <c:pt idx="23">
                  <c:v>5472132.7626014575</c:v>
                </c:pt>
                <c:pt idx="24">
                  <c:v>5587047.5506160883</c:v>
                </c:pt>
                <c:pt idx="25">
                  <c:v>5704375.5491790269</c:v>
                </c:pt>
              </c:numCache>
            </c:numRef>
          </c:val>
          <c:smooth val="0"/>
          <c:extLst>
            <c:ext xmlns:c16="http://schemas.microsoft.com/office/drawing/2014/chart" uri="{C3380CC4-5D6E-409C-BE32-E72D297353CC}">
              <c16:uniqueId val="{00000005-767B-404D-947C-401F7C2714B0}"/>
            </c:ext>
          </c:extLst>
        </c:ser>
        <c:ser>
          <c:idx val="6"/>
          <c:order val="4"/>
          <c:tx>
            <c:strRef>
              <c:f>'5. Lüderitz Domestic Demand'!$U$31</c:f>
              <c:strCache>
                <c:ptCount val="1"/>
                <c:pt idx="0">
                  <c:v>Scenario 5a</c:v>
                </c:pt>
              </c:strCache>
            </c:strRef>
          </c:tx>
          <c:spPr>
            <a:ln w="28575" cap="rnd">
              <a:solidFill>
                <a:schemeClr val="accent1">
                  <a:lumMod val="60000"/>
                </a:schemeClr>
              </a:solidFill>
              <a:round/>
            </a:ln>
            <a:effectLst/>
          </c:spPr>
          <c:marker>
            <c:symbol val="none"/>
          </c:marker>
          <c:cat>
            <c:numRef>
              <c:f>'5. Lüderitz Domestic Demand'!$N$32:$N$57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'5. Lüderitz Domestic Demand'!$U$32:$U$57</c:f>
              <c:numCache>
                <c:formatCode>#,##0</c:formatCode>
                <c:ptCount val="26"/>
                <c:pt idx="0">
                  <c:v>806650</c:v>
                </c:pt>
                <c:pt idx="1">
                  <c:v>1009669.57</c:v>
                </c:pt>
                <c:pt idx="2">
                  <c:v>2260150.29097</c:v>
                </c:pt>
                <c:pt idx="3">
                  <c:v>2329250.6470803702</c:v>
                </c:pt>
                <c:pt idx="4">
                  <c:v>2378164.9106690581</c:v>
                </c:pt>
                <c:pt idx="5">
                  <c:v>3190817.6737931077</c:v>
                </c:pt>
                <c:pt idx="6">
                  <c:v>3443904.7649427634</c:v>
                </c:pt>
                <c:pt idx="7">
                  <c:v>3516226.7650065618</c:v>
                </c:pt>
                <c:pt idx="8">
                  <c:v>3590067.5270717</c:v>
                </c:pt>
                <c:pt idx="9">
                  <c:v>4090686.8651402062</c:v>
                </c:pt>
                <c:pt idx="10">
                  <c:v>4176591.2893081503</c:v>
                </c:pt>
                <c:pt idx="11">
                  <c:v>4264299.7063836213</c:v>
                </c:pt>
                <c:pt idx="12">
                  <c:v>4353850.000217678</c:v>
                </c:pt>
                <c:pt idx="13">
                  <c:v>4445280.8502222486</c:v>
                </c:pt>
                <c:pt idx="14">
                  <c:v>4538631.7480769167</c:v>
                </c:pt>
                <c:pt idx="15">
                  <c:v>4633943.0147865312</c:v>
                </c:pt>
                <c:pt idx="16">
                  <c:v>4731255.8180970484</c:v>
                </c:pt>
                <c:pt idx="17">
                  <c:v>4830612.1902770866</c:v>
                </c:pt>
                <c:pt idx="18">
                  <c:v>4932055.0462729055</c:v>
                </c:pt>
                <c:pt idx="19">
                  <c:v>5035628.2022446366</c:v>
                </c:pt>
                <c:pt idx="20">
                  <c:v>5141376.394491774</c:v>
                </c:pt>
                <c:pt idx="21">
                  <c:v>5249345.2987761013</c:v>
                </c:pt>
                <c:pt idx="22">
                  <c:v>5359581.5500503993</c:v>
                </c:pt>
                <c:pt idx="23">
                  <c:v>5472132.7626014575</c:v>
                </c:pt>
                <c:pt idx="24">
                  <c:v>5587047.5506160883</c:v>
                </c:pt>
                <c:pt idx="25">
                  <c:v>5704375.5491790269</c:v>
                </c:pt>
              </c:numCache>
            </c:numRef>
          </c:val>
          <c:smooth val="0"/>
          <c:extLst>
            <c:ext xmlns:c16="http://schemas.microsoft.com/office/drawing/2014/chart" uri="{C3380CC4-5D6E-409C-BE32-E72D297353CC}">
              <c16:uniqueId val="{00000006-767B-404D-947C-401F7C2714B0}"/>
            </c:ext>
          </c:extLst>
        </c:ser>
        <c:ser>
          <c:idx val="7"/>
          <c:order val="5"/>
          <c:tx>
            <c:strRef>
              <c:f>'5. Lüderitz Domestic Demand'!$V$31</c:f>
              <c:strCache>
                <c:ptCount val="1"/>
                <c:pt idx="0">
                  <c:v>Scenario 5b</c:v>
                </c:pt>
              </c:strCache>
            </c:strRef>
          </c:tx>
          <c:spPr>
            <a:ln w="28575" cap="rnd">
              <a:solidFill>
                <a:schemeClr val="accent2">
                  <a:lumMod val="60000"/>
                </a:schemeClr>
              </a:solidFill>
              <a:round/>
            </a:ln>
            <a:effectLst/>
          </c:spPr>
          <c:marker>
            <c:symbol val="none"/>
          </c:marker>
          <c:cat>
            <c:numRef>
              <c:f>'5. Lüderitz Domestic Demand'!$N$32:$N$57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'5. Lüderitz Domestic Demand'!$V$32:$V$57</c:f>
              <c:numCache>
                <c:formatCode>#,##0</c:formatCode>
                <c:ptCount val="26"/>
                <c:pt idx="0">
                  <c:v>806650</c:v>
                </c:pt>
                <c:pt idx="1">
                  <c:v>1009669.57</c:v>
                </c:pt>
                <c:pt idx="2">
                  <c:v>2260150.29097</c:v>
                </c:pt>
                <c:pt idx="3">
                  <c:v>2329250.6470803702</c:v>
                </c:pt>
                <c:pt idx="4">
                  <c:v>2378164.9106690581</c:v>
                </c:pt>
                <c:pt idx="5">
                  <c:v>3190817.6737931077</c:v>
                </c:pt>
                <c:pt idx="6">
                  <c:v>3443904.7649427634</c:v>
                </c:pt>
                <c:pt idx="7">
                  <c:v>3516226.7650065618</c:v>
                </c:pt>
                <c:pt idx="8">
                  <c:v>3590067.5270717</c:v>
                </c:pt>
                <c:pt idx="9">
                  <c:v>4090686.8651402062</c:v>
                </c:pt>
                <c:pt idx="10">
                  <c:v>4176591.2893081503</c:v>
                </c:pt>
                <c:pt idx="11">
                  <c:v>4264299.7063836213</c:v>
                </c:pt>
                <c:pt idx="12">
                  <c:v>4353850.000217678</c:v>
                </c:pt>
                <c:pt idx="13">
                  <c:v>4445280.8502222486</c:v>
                </c:pt>
                <c:pt idx="14">
                  <c:v>4538631.7480769167</c:v>
                </c:pt>
                <c:pt idx="15">
                  <c:v>4633943.0147865312</c:v>
                </c:pt>
                <c:pt idx="16">
                  <c:v>4731255.8180970484</c:v>
                </c:pt>
                <c:pt idx="17">
                  <c:v>5069760.1902770866</c:v>
                </c:pt>
                <c:pt idx="18">
                  <c:v>5176225.1542729065</c:v>
                </c:pt>
                <c:pt idx="19">
                  <c:v>5284925.8825126374</c:v>
                </c:pt>
                <c:pt idx="20">
                  <c:v>5395909.3260454023</c:v>
                </c:pt>
                <c:pt idx="21">
                  <c:v>5509223.4218923552</c:v>
                </c:pt>
                <c:pt idx="22">
                  <c:v>5624917.113752095</c:v>
                </c:pt>
                <c:pt idx="23">
                  <c:v>5743040.3731408883</c:v>
                </c:pt>
                <c:pt idx="24">
                  <c:v>5863644.2209768472</c:v>
                </c:pt>
                <c:pt idx="25">
                  <c:v>5986780.7496173615</c:v>
                </c:pt>
              </c:numCache>
            </c:numRef>
          </c:val>
          <c:smooth val="0"/>
          <c:extLst>
            <c:ext xmlns:c16="http://schemas.microsoft.com/office/drawing/2014/chart" uri="{C3380CC4-5D6E-409C-BE32-E72D297353CC}">
              <c16:uniqueId val="{00000007-767B-404D-947C-401F7C2714B0}"/>
            </c:ext>
          </c:extLst>
        </c:ser>
        <c:ser>
          <c:idx val="2"/>
          <c:order val="6"/>
          <c:tx>
            <c:strRef>
              <c:f>'5. Lüderitz Domestic Demand'!$C$31</c:f>
              <c:strCache>
                <c:ptCount val="1"/>
                <c:pt idx="0">
                  <c:v>Curent Population Growth Rate</c:v>
                </c:pt>
              </c:strCache>
            </c:strRef>
          </c:tx>
          <c:spPr>
            <a:ln w="28575" cap="rnd">
              <a:solidFill>
                <a:schemeClr val="accent3"/>
              </a:solidFill>
              <a:round/>
            </a:ln>
            <a:effectLst/>
          </c:spPr>
          <c:marker>
            <c:symbol val="none"/>
          </c:marker>
          <c:val>
            <c:numRef>
              <c:f>'5. Lüderitz Domestic Demand'!$C$32:$C$57</c:f>
              <c:numCache>
                <c:formatCode>#,##0</c:formatCode>
                <c:ptCount val="26"/>
                <c:pt idx="0">
                  <c:v>806650</c:v>
                </c:pt>
                <c:pt idx="1">
                  <c:v>823589.65</c:v>
                </c:pt>
                <c:pt idx="2">
                  <c:v>840885.03265000007</c:v>
                </c:pt>
                <c:pt idx="3">
                  <c:v>858543.61833565007</c:v>
                </c:pt>
                <c:pt idx="4">
                  <c:v>876573.0343206987</c:v>
                </c:pt>
                <c:pt idx="5">
                  <c:v>894981.06804143335</c:v>
                </c:pt>
                <c:pt idx="6">
                  <c:v>913775.67047030351</c:v>
                </c:pt>
                <c:pt idx="7">
                  <c:v>932964.95955017977</c:v>
                </c:pt>
                <c:pt idx="8">
                  <c:v>952557.22370073362</c:v>
                </c:pt>
                <c:pt idx="9">
                  <c:v>972560.92539844906</c:v>
                </c:pt>
                <c:pt idx="10">
                  <c:v>992984.70483181661</c:v>
                </c:pt>
                <c:pt idx="11">
                  <c:v>1013837.3836332847</c:v>
                </c:pt>
                <c:pt idx="12">
                  <c:v>1035127.9686895837</c:v>
                </c:pt>
                <c:pt idx="13">
                  <c:v>1056865.6560320649</c:v>
                </c:pt>
                <c:pt idx="14">
                  <c:v>1079059.8348087382</c:v>
                </c:pt>
                <c:pt idx="15">
                  <c:v>1101720.0913397218</c:v>
                </c:pt>
                <c:pt idx="16">
                  <c:v>1124856.213257856</c:v>
                </c:pt>
                <c:pt idx="17">
                  <c:v>1148478.193736271</c:v>
                </c:pt>
                <c:pt idx="18">
                  <c:v>1172596.2358047327</c:v>
                </c:pt>
                <c:pt idx="19">
                  <c:v>1197220.7567566321</c:v>
                </c:pt>
                <c:pt idx="20">
                  <c:v>1222362.3926485213</c:v>
                </c:pt>
                <c:pt idx="21">
                  <c:v>1248032.0028941403</c:v>
                </c:pt>
                <c:pt idx="22">
                  <c:v>1274240.6749549173</c:v>
                </c:pt>
                <c:pt idx="23">
                  <c:v>1300999.7291289705</c:v>
                </c:pt>
                <c:pt idx="24">
                  <c:v>1328320.7234406788</c:v>
                </c:pt>
                <c:pt idx="25">
                  <c:v>1356215.4586329332</c:v>
                </c:pt>
              </c:numCache>
            </c:numRef>
          </c:val>
          <c:smooth val="0"/>
          <c:extLst>
            <c:ext xmlns:c16="http://schemas.microsoft.com/office/drawing/2014/chart" uri="{C3380CC4-5D6E-409C-BE32-E72D297353CC}">
              <c16:uniqueId val="{00000008-767B-404D-947C-401F7C2714B0}"/>
            </c:ext>
          </c:extLst>
        </c:ser>
        <c:dLbls>
          <c:showLegendKey val="0"/>
          <c:showVal val="0"/>
          <c:showCatName val="0"/>
          <c:showSerName val="0"/>
          <c:showPercent val="0"/>
          <c:showBubbleSize val="0"/>
        </c:dLbls>
        <c:smooth val="0"/>
        <c:axId val="1034271312"/>
        <c:axId val="1034268912"/>
      </c:lineChart>
      <c:catAx>
        <c:axId val="1034271312"/>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034268912"/>
        <c:crosses val="autoZero"/>
        <c:auto val="1"/>
        <c:lblAlgn val="ctr"/>
        <c:lblOffset val="100"/>
        <c:noMultiLvlLbl val="0"/>
      </c:catAx>
      <c:valAx>
        <c:axId val="1034268912"/>
        <c:scaling>
          <c:orientation val="minMax"/>
          <c:max val="8000000"/>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Domestic Water Demand [m3/year]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03427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de-DE" b="1"/>
              <a:t>Figure 3: Total Industrial Demand [m3/year] per Industrialization Scenario</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v>Scenarios 1 &amp; 2</c:v>
          </c:tx>
          <c:spPr>
            <a:ln w="28575" cap="rnd">
              <a:solidFill>
                <a:schemeClr val="accent1"/>
              </a:solidFill>
              <a:round/>
            </a:ln>
            <a:effectLst/>
          </c:spPr>
          <c:marker>
            <c:symbol val="none"/>
          </c:marker>
          <c:cat>
            <c:numRef>
              <c:f>'6. Lüderitz Industrial Demand'!$B$64:$B$89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Demand'!$C$64:$C$89</c:f>
              <c:numCache>
                <c:formatCode>#,##0</c:formatCode>
                <c:ptCount val="26"/>
                <c:pt idx="0">
                  <c:v>409968</c:v>
                </c:pt>
                <c:pt idx="1">
                  <c:v>694902.14285714284</c:v>
                </c:pt>
                <c:pt idx="2">
                  <c:v>694902.14285714284</c:v>
                </c:pt>
                <c:pt idx="3">
                  <c:v>694902.14285714284</c:v>
                </c:pt>
                <c:pt idx="4">
                  <c:v>694902.14285714284</c:v>
                </c:pt>
                <c:pt idx="5">
                  <c:v>723007.14285714284</c:v>
                </c:pt>
                <c:pt idx="6">
                  <c:v>992064.28571428568</c:v>
                </c:pt>
                <c:pt idx="7">
                  <c:v>992064.28571428568</c:v>
                </c:pt>
                <c:pt idx="8">
                  <c:v>992064.28571428568</c:v>
                </c:pt>
                <c:pt idx="9">
                  <c:v>1261121.4285714286</c:v>
                </c:pt>
                <c:pt idx="10">
                  <c:v>1261121.4285714286</c:v>
                </c:pt>
                <c:pt idx="11">
                  <c:v>1261121.4285714286</c:v>
                </c:pt>
                <c:pt idx="12">
                  <c:v>1261121.4285714286</c:v>
                </c:pt>
                <c:pt idx="13">
                  <c:v>1261121.4285714286</c:v>
                </c:pt>
                <c:pt idx="14">
                  <c:v>1261121.4285714286</c:v>
                </c:pt>
                <c:pt idx="15">
                  <c:v>1261121.4285714286</c:v>
                </c:pt>
                <c:pt idx="16">
                  <c:v>1261121.4285714286</c:v>
                </c:pt>
                <c:pt idx="17">
                  <c:v>1261121.4285714286</c:v>
                </c:pt>
                <c:pt idx="18">
                  <c:v>1261121.4285714286</c:v>
                </c:pt>
                <c:pt idx="19">
                  <c:v>1261121.4285714286</c:v>
                </c:pt>
                <c:pt idx="20">
                  <c:v>1261121.4285714286</c:v>
                </c:pt>
                <c:pt idx="21">
                  <c:v>1261121.4285714286</c:v>
                </c:pt>
                <c:pt idx="22">
                  <c:v>1261121.4285714286</c:v>
                </c:pt>
                <c:pt idx="23">
                  <c:v>1261121.4285714286</c:v>
                </c:pt>
                <c:pt idx="24">
                  <c:v>1261121.4285714286</c:v>
                </c:pt>
                <c:pt idx="25">
                  <c:v>1261121.4285714286</c:v>
                </c:pt>
              </c:numCache>
            </c:numRef>
          </c:val>
          <c:smooth val="0"/>
          <c:extLst>
            <c:ext xmlns:c16="http://schemas.microsoft.com/office/drawing/2014/chart" uri="{C3380CC4-5D6E-409C-BE32-E72D297353CC}">
              <c16:uniqueId val="{00000000-5769-4919-A8B5-5CEC51BF3992}"/>
            </c:ext>
          </c:extLst>
        </c:ser>
        <c:ser>
          <c:idx val="2"/>
          <c:order val="1"/>
          <c:tx>
            <c:v>Scenarios 3 &amp; 4</c:v>
          </c:tx>
          <c:spPr>
            <a:ln w="28575" cap="rnd">
              <a:solidFill>
                <a:schemeClr val="accent3"/>
              </a:solidFill>
              <a:round/>
            </a:ln>
            <a:effectLst/>
          </c:spPr>
          <c:marker>
            <c:symbol val="none"/>
          </c:marker>
          <c:cat>
            <c:numRef>
              <c:f>'6. Lüderitz Industrial Demand'!$B$64:$B$89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Demand'!$E$64:$E$89</c:f>
              <c:numCache>
                <c:formatCode>#,##0</c:formatCode>
                <c:ptCount val="26"/>
                <c:pt idx="0">
                  <c:v>409968</c:v>
                </c:pt>
                <c:pt idx="1">
                  <c:v>694902.14285714284</c:v>
                </c:pt>
                <c:pt idx="2">
                  <c:v>2154902.1428571427</c:v>
                </c:pt>
                <c:pt idx="3">
                  <c:v>2154902.1428571427</c:v>
                </c:pt>
                <c:pt idx="4">
                  <c:v>2154902.1428571427</c:v>
                </c:pt>
                <c:pt idx="5">
                  <c:v>2183007.1428571427</c:v>
                </c:pt>
                <c:pt idx="6">
                  <c:v>11577064.285714285</c:v>
                </c:pt>
                <c:pt idx="7">
                  <c:v>11577064.285714285</c:v>
                </c:pt>
                <c:pt idx="8">
                  <c:v>11577064.285714285</c:v>
                </c:pt>
                <c:pt idx="9">
                  <c:v>19511121.428571429</c:v>
                </c:pt>
                <c:pt idx="10">
                  <c:v>19511121.428571429</c:v>
                </c:pt>
                <c:pt idx="11">
                  <c:v>19511121.428571429</c:v>
                </c:pt>
                <c:pt idx="12">
                  <c:v>19511121.428571429</c:v>
                </c:pt>
                <c:pt idx="13">
                  <c:v>19511121.428571429</c:v>
                </c:pt>
                <c:pt idx="14">
                  <c:v>19511121.428571429</c:v>
                </c:pt>
                <c:pt idx="15">
                  <c:v>19511121.428571429</c:v>
                </c:pt>
                <c:pt idx="16">
                  <c:v>19511121.428571429</c:v>
                </c:pt>
                <c:pt idx="17">
                  <c:v>19511121.428571429</c:v>
                </c:pt>
                <c:pt idx="18">
                  <c:v>19511121.428571429</c:v>
                </c:pt>
                <c:pt idx="19">
                  <c:v>19511121.428571429</c:v>
                </c:pt>
                <c:pt idx="20">
                  <c:v>19511121.428571429</c:v>
                </c:pt>
                <c:pt idx="21">
                  <c:v>19511121.428571429</c:v>
                </c:pt>
                <c:pt idx="22">
                  <c:v>19511121.428571429</c:v>
                </c:pt>
                <c:pt idx="23">
                  <c:v>19511121.428571429</c:v>
                </c:pt>
                <c:pt idx="24">
                  <c:v>19511121.428571429</c:v>
                </c:pt>
                <c:pt idx="25">
                  <c:v>19511121.428571429</c:v>
                </c:pt>
              </c:numCache>
            </c:numRef>
          </c:val>
          <c:smooth val="0"/>
          <c:extLst>
            <c:ext xmlns:c16="http://schemas.microsoft.com/office/drawing/2014/chart" uri="{C3380CC4-5D6E-409C-BE32-E72D297353CC}">
              <c16:uniqueId val="{00000002-5769-4919-A8B5-5CEC51BF3992}"/>
            </c:ext>
          </c:extLst>
        </c:ser>
        <c:ser>
          <c:idx val="4"/>
          <c:order val="2"/>
          <c:tx>
            <c:strRef>
              <c:f>'6. Lüderitz Industrial Demand'!$G$63</c:f>
              <c:strCache>
                <c:ptCount val="1"/>
                <c:pt idx="0">
                  <c:v>Scenario 5</c:v>
                </c:pt>
              </c:strCache>
            </c:strRef>
          </c:tx>
          <c:spPr>
            <a:ln w="28575" cap="rnd">
              <a:solidFill>
                <a:schemeClr val="accent5"/>
              </a:solidFill>
              <a:round/>
            </a:ln>
            <a:effectLst/>
          </c:spPr>
          <c:marker>
            <c:symbol val="none"/>
          </c:marker>
          <c:cat>
            <c:numRef>
              <c:f>'6. Lüderitz Industrial Demand'!$B$64:$B$89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Demand'!$G$64:$G$89</c:f>
              <c:numCache>
                <c:formatCode>#,##0</c:formatCode>
                <c:ptCount val="26"/>
                <c:pt idx="0">
                  <c:v>409968</c:v>
                </c:pt>
                <c:pt idx="1">
                  <c:v>694902.14285714284</c:v>
                </c:pt>
                <c:pt idx="2">
                  <c:v>2154902.1428571427</c:v>
                </c:pt>
                <c:pt idx="3">
                  <c:v>2154902.1428571427</c:v>
                </c:pt>
                <c:pt idx="4">
                  <c:v>2154902.1428571427</c:v>
                </c:pt>
                <c:pt idx="5">
                  <c:v>2183007.1428571427</c:v>
                </c:pt>
                <c:pt idx="6">
                  <c:v>11577064.285714285</c:v>
                </c:pt>
                <c:pt idx="7">
                  <c:v>11577064.285714285</c:v>
                </c:pt>
                <c:pt idx="8">
                  <c:v>11577064.285714285</c:v>
                </c:pt>
                <c:pt idx="9">
                  <c:v>19511121.428571429</c:v>
                </c:pt>
                <c:pt idx="10">
                  <c:v>20971121.428571429</c:v>
                </c:pt>
                <c:pt idx="11">
                  <c:v>20971121.428571429</c:v>
                </c:pt>
                <c:pt idx="12">
                  <c:v>20971121.428571429</c:v>
                </c:pt>
                <c:pt idx="13">
                  <c:v>20971121.428571429</c:v>
                </c:pt>
                <c:pt idx="14">
                  <c:v>30096121.428571429</c:v>
                </c:pt>
                <c:pt idx="15">
                  <c:v>30096121.428571429</c:v>
                </c:pt>
                <c:pt idx="16">
                  <c:v>30096121.428571429</c:v>
                </c:pt>
                <c:pt idx="17">
                  <c:v>37761121.428571433</c:v>
                </c:pt>
                <c:pt idx="18">
                  <c:v>37761121.428571433</c:v>
                </c:pt>
                <c:pt idx="19">
                  <c:v>37761121.428571433</c:v>
                </c:pt>
                <c:pt idx="20">
                  <c:v>37761121.428571433</c:v>
                </c:pt>
                <c:pt idx="21">
                  <c:v>37761121.428571433</c:v>
                </c:pt>
                <c:pt idx="22">
                  <c:v>37761121.428571433</c:v>
                </c:pt>
                <c:pt idx="23">
                  <c:v>37761121.428571433</c:v>
                </c:pt>
                <c:pt idx="24">
                  <c:v>37761121.428571433</c:v>
                </c:pt>
                <c:pt idx="25">
                  <c:v>37761121.428571433</c:v>
                </c:pt>
              </c:numCache>
            </c:numRef>
          </c:val>
          <c:smooth val="0"/>
          <c:extLst>
            <c:ext xmlns:c16="http://schemas.microsoft.com/office/drawing/2014/chart" uri="{C3380CC4-5D6E-409C-BE32-E72D297353CC}">
              <c16:uniqueId val="{00000004-5769-4919-A8B5-5CEC51BF3992}"/>
            </c:ext>
          </c:extLst>
        </c:ser>
        <c:dLbls>
          <c:showLegendKey val="0"/>
          <c:showVal val="0"/>
          <c:showCatName val="0"/>
          <c:showSerName val="0"/>
          <c:showPercent val="0"/>
          <c:showBubbleSize val="0"/>
        </c:dLbls>
        <c:smooth val="0"/>
        <c:axId val="1167941376"/>
        <c:axId val="1167944256"/>
      </c:lineChart>
      <c:catAx>
        <c:axId val="1167941376"/>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e-DE"/>
          </a:p>
        </c:txPr>
        <c:crossAx val="1167944256"/>
        <c:crosses val="autoZero"/>
        <c:auto val="1"/>
        <c:lblAlgn val="ctr"/>
        <c:lblOffset val="100"/>
        <c:noMultiLvlLbl val="0"/>
      </c:catAx>
      <c:valAx>
        <c:axId val="1167944256"/>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Industrial Demand [m3/year]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e-DE"/>
          </a:p>
        </c:txPr>
        <c:crossAx val="1167941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100">
          <a:solidFill>
            <a:sysClr val="windowText" lastClr="000000"/>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de-DE" b="1"/>
              <a:t>Figure 2: Industrial Demand per Industry (Including Green Hydrogen) with 2024 Industrial Demand Comparison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strRef>
              <c:f>'6. Lüderitz Industrial Demand'!$C$31</c:f>
              <c:strCache>
                <c:ptCount val="1"/>
                <c:pt idx="0">
                  <c:v>2024 Industrial  Demand Growth Rate</c:v>
                </c:pt>
              </c:strCache>
            </c:strRef>
          </c:tx>
          <c:spPr>
            <a:ln w="28575" cap="rnd">
              <a:solidFill>
                <a:schemeClr val="accent1"/>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Demand'!$C$32:$C$57</c:f>
              <c:numCache>
                <c:formatCode>#,##0</c:formatCode>
                <c:ptCount val="26"/>
                <c:pt idx="0">
                  <c:v>409968</c:v>
                </c:pt>
                <c:pt idx="1">
                  <c:v>442765.44</c:v>
                </c:pt>
                <c:pt idx="2">
                  <c:v>478186.6752</c:v>
                </c:pt>
                <c:pt idx="3">
                  <c:v>516441.60921600001</c:v>
                </c:pt>
                <c:pt idx="4">
                  <c:v>557756.93795328005</c:v>
                </c:pt>
                <c:pt idx="5">
                  <c:v>602377.49298954243</c:v>
                </c:pt>
                <c:pt idx="6">
                  <c:v>650567.69242870586</c:v>
                </c:pt>
                <c:pt idx="7">
                  <c:v>702613.10782300238</c:v>
                </c:pt>
                <c:pt idx="8">
                  <c:v>758822.15644884261</c:v>
                </c:pt>
                <c:pt idx="9">
                  <c:v>819527.92896475003</c:v>
                </c:pt>
                <c:pt idx="10">
                  <c:v>885090.16328193003</c:v>
                </c:pt>
                <c:pt idx="11">
                  <c:v>955897.37634448439</c:v>
                </c:pt>
                <c:pt idx="12">
                  <c:v>1032369.1664520431</c:v>
                </c:pt>
                <c:pt idx="13">
                  <c:v>1114958.6997682066</c:v>
                </c:pt>
                <c:pt idx="14">
                  <c:v>1204155.395749663</c:v>
                </c:pt>
                <c:pt idx="15">
                  <c:v>1300487.827409636</c:v>
                </c:pt>
                <c:pt idx="16">
                  <c:v>1404526.8536024068</c:v>
                </c:pt>
                <c:pt idx="17">
                  <c:v>1516889.0018905993</c:v>
                </c:pt>
                <c:pt idx="18">
                  <c:v>1638240.1220418471</c:v>
                </c:pt>
                <c:pt idx="19">
                  <c:v>1769299.331805195</c:v>
                </c:pt>
                <c:pt idx="20">
                  <c:v>1910843.2783496105</c:v>
                </c:pt>
                <c:pt idx="21">
                  <c:v>2063710.7406175793</c:v>
                </c:pt>
                <c:pt idx="22">
                  <c:v>2228807.5998669858</c:v>
                </c:pt>
                <c:pt idx="23">
                  <c:v>2407112.2078563445</c:v>
                </c:pt>
                <c:pt idx="24">
                  <c:v>2599681.184484852</c:v>
                </c:pt>
                <c:pt idx="25">
                  <c:v>2807655.67924364</c:v>
                </c:pt>
              </c:numCache>
            </c:numRef>
          </c:val>
          <c:smooth val="0"/>
          <c:extLst>
            <c:ext xmlns:c16="http://schemas.microsoft.com/office/drawing/2014/chart" uri="{C3380CC4-5D6E-409C-BE32-E72D297353CC}">
              <c16:uniqueId val="{00000000-6804-427C-B40C-5F066B4ACF92}"/>
            </c:ext>
          </c:extLst>
        </c:ser>
        <c:ser>
          <c:idx val="2"/>
          <c:order val="2"/>
          <c:tx>
            <c:strRef>
              <c:f>'6. Lüderitz Industrial Demand'!$E$31</c:f>
              <c:strCache>
                <c:ptCount val="1"/>
                <c:pt idx="0">
                  <c:v>Benguela Blue</c:v>
                </c:pt>
              </c:strCache>
            </c:strRef>
          </c:tx>
          <c:spPr>
            <a:ln w="28575" cap="rnd">
              <a:solidFill>
                <a:schemeClr val="accent3"/>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Demand'!$E$32:$E$57</c:f>
              <c:numCache>
                <c:formatCode>#,##0</c:formatCode>
                <c:ptCount val="26"/>
                <c:pt idx="0">
                  <c:v>0</c:v>
                </c:pt>
                <c:pt idx="1">
                  <c:v>109500</c:v>
                </c:pt>
                <c:pt idx="2">
                  <c:v>109500</c:v>
                </c:pt>
                <c:pt idx="3">
                  <c:v>109500</c:v>
                </c:pt>
                <c:pt idx="4">
                  <c:v>109500</c:v>
                </c:pt>
                <c:pt idx="5">
                  <c:v>109500</c:v>
                </c:pt>
                <c:pt idx="6">
                  <c:v>219000</c:v>
                </c:pt>
                <c:pt idx="7">
                  <c:v>219000</c:v>
                </c:pt>
                <c:pt idx="8">
                  <c:v>219000</c:v>
                </c:pt>
                <c:pt idx="9">
                  <c:v>328500</c:v>
                </c:pt>
                <c:pt idx="10">
                  <c:v>328500</c:v>
                </c:pt>
                <c:pt idx="11">
                  <c:v>328500</c:v>
                </c:pt>
                <c:pt idx="12">
                  <c:v>328500</c:v>
                </c:pt>
                <c:pt idx="13">
                  <c:v>328500</c:v>
                </c:pt>
                <c:pt idx="14">
                  <c:v>328500</c:v>
                </c:pt>
                <c:pt idx="15">
                  <c:v>328500</c:v>
                </c:pt>
                <c:pt idx="16">
                  <c:v>328500</c:v>
                </c:pt>
                <c:pt idx="17">
                  <c:v>328500</c:v>
                </c:pt>
                <c:pt idx="18">
                  <c:v>328500</c:v>
                </c:pt>
                <c:pt idx="19">
                  <c:v>328500</c:v>
                </c:pt>
                <c:pt idx="20">
                  <c:v>328500</c:v>
                </c:pt>
                <c:pt idx="21">
                  <c:v>328500</c:v>
                </c:pt>
                <c:pt idx="22">
                  <c:v>328500</c:v>
                </c:pt>
                <c:pt idx="23">
                  <c:v>328500</c:v>
                </c:pt>
                <c:pt idx="24">
                  <c:v>328500</c:v>
                </c:pt>
                <c:pt idx="25">
                  <c:v>328500</c:v>
                </c:pt>
              </c:numCache>
            </c:numRef>
          </c:val>
          <c:smooth val="0"/>
          <c:extLst>
            <c:ext xmlns:c16="http://schemas.microsoft.com/office/drawing/2014/chart" uri="{C3380CC4-5D6E-409C-BE32-E72D297353CC}">
              <c16:uniqueId val="{00000002-6804-427C-B40C-5F066B4ACF92}"/>
            </c:ext>
          </c:extLst>
        </c:ser>
        <c:ser>
          <c:idx val="3"/>
          <c:order val="3"/>
          <c:tx>
            <c:strRef>
              <c:f>'6. Lüderitz Industrial Demand'!$F$31</c:f>
              <c:strCache>
                <c:ptCount val="1"/>
                <c:pt idx="0">
                  <c:v>AAC</c:v>
                </c:pt>
              </c:strCache>
            </c:strRef>
          </c:tx>
          <c:spPr>
            <a:ln w="28575" cap="rnd">
              <a:solidFill>
                <a:schemeClr val="accent4"/>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Demand'!$F$32:$F$57</c:f>
              <c:numCache>
                <c:formatCode>#,##0</c:formatCode>
                <c:ptCount val="26"/>
                <c:pt idx="0">
                  <c:v>0</c:v>
                </c:pt>
                <c:pt idx="1">
                  <c:v>159557.14285714284</c:v>
                </c:pt>
                <c:pt idx="2">
                  <c:v>159557.14285714284</c:v>
                </c:pt>
                <c:pt idx="3">
                  <c:v>159557.14285714284</c:v>
                </c:pt>
                <c:pt idx="4">
                  <c:v>159557.14285714284</c:v>
                </c:pt>
                <c:pt idx="5">
                  <c:v>159557.14285714284</c:v>
                </c:pt>
                <c:pt idx="6">
                  <c:v>319114.28571428568</c:v>
                </c:pt>
                <c:pt idx="7">
                  <c:v>319114.28571428568</c:v>
                </c:pt>
                <c:pt idx="8">
                  <c:v>319114.28571428568</c:v>
                </c:pt>
                <c:pt idx="9">
                  <c:v>478671.42857142852</c:v>
                </c:pt>
                <c:pt idx="10">
                  <c:v>478671.42857142852</c:v>
                </c:pt>
                <c:pt idx="11">
                  <c:v>478671.42857142852</c:v>
                </c:pt>
                <c:pt idx="12">
                  <c:v>478671.42857142852</c:v>
                </c:pt>
                <c:pt idx="13">
                  <c:v>478671.42857142852</c:v>
                </c:pt>
                <c:pt idx="14">
                  <c:v>478671.42857142852</c:v>
                </c:pt>
                <c:pt idx="15">
                  <c:v>478671.42857142852</c:v>
                </c:pt>
                <c:pt idx="16">
                  <c:v>478671.42857142852</c:v>
                </c:pt>
                <c:pt idx="17">
                  <c:v>478671.42857142852</c:v>
                </c:pt>
                <c:pt idx="18">
                  <c:v>478671.42857142852</c:v>
                </c:pt>
                <c:pt idx="19">
                  <c:v>478671.42857142852</c:v>
                </c:pt>
                <c:pt idx="20">
                  <c:v>478671.42857142852</c:v>
                </c:pt>
                <c:pt idx="21">
                  <c:v>478671.42857142852</c:v>
                </c:pt>
                <c:pt idx="22">
                  <c:v>478671.42857142852</c:v>
                </c:pt>
                <c:pt idx="23">
                  <c:v>478671.42857142852</c:v>
                </c:pt>
                <c:pt idx="24">
                  <c:v>478671.42857142852</c:v>
                </c:pt>
                <c:pt idx="25">
                  <c:v>478671.42857142852</c:v>
                </c:pt>
              </c:numCache>
            </c:numRef>
          </c:val>
          <c:smooth val="0"/>
          <c:extLst>
            <c:ext xmlns:c16="http://schemas.microsoft.com/office/drawing/2014/chart" uri="{C3380CC4-5D6E-409C-BE32-E72D297353CC}">
              <c16:uniqueId val="{00000003-6804-427C-B40C-5F066B4ACF92}"/>
            </c:ext>
          </c:extLst>
        </c:ser>
        <c:ser>
          <c:idx val="4"/>
          <c:order val="4"/>
          <c:tx>
            <c:strRef>
              <c:f>'6. Lüderitz Industrial Demand'!$G$31</c:f>
              <c:strCache>
                <c:ptCount val="1"/>
                <c:pt idx="0">
                  <c:v>Kelp Blue</c:v>
                </c:pt>
              </c:strCache>
            </c:strRef>
          </c:tx>
          <c:spPr>
            <a:ln w="28575" cap="rnd">
              <a:solidFill>
                <a:schemeClr val="accent5"/>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Demand'!$G$32:$G$57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4-6804-427C-B40C-5F066B4ACF92}"/>
            </c:ext>
          </c:extLst>
        </c:ser>
        <c:ser>
          <c:idx val="5"/>
          <c:order val="5"/>
          <c:tx>
            <c:strRef>
              <c:f>'6. Lüderitz Industrial Demand'!$H$31</c:f>
              <c:strCache>
                <c:ptCount val="1"/>
                <c:pt idx="0">
                  <c:v>CUMET Expansion</c:v>
                </c:pt>
              </c:strCache>
            </c:strRef>
          </c:tx>
          <c:spPr>
            <a:ln w="28575" cap="rnd">
              <a:solidFill>
                <a:schemeClr val="accent6"/>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Demand'!$H$32:$H$57</c:f>
              <c:numCache>
                <c:formatCode>#,##0</c:formatCode>
                <c:ptCount val="26"/>
                <c:pt idx="0">
                  <c:v>0</c:v>
                </c:pt>
                <c:pt idx="1">
                  <c:v>0</c:v>
                </c:pt>
                <c:pt idx="2">
                  <c:v>0</c:v>
                </c:pt>
                <c:pt idx="3">
                  <c:v>0</c:v>
                </c:pt>
                <c:pt idx="4">
                  <c:v>0</c:v>
                </c:pt>
                <c:pt idx="5">
                  <c:v>28105</c:v>
                </c:pt>
                <c:pt idx="6">
                  <c:v>28105</c:v>
                </c:pt>
                <c:pt idx="7">
                  <c:v>28105</c:v>
                </c:pt>
                <c:pt idx="8">
                  <c:v>28105</c:v>
                </c:pt>
                <c:pt idx="9">
                  <c:v>28105</c:v>
                </c:pt>
                <c:pt idx="10">
                  <c:v>28105</c:v>
                </c:pt>
                <c:pt idx="11">
                  <c:v>28105</c:v>
                </c:pt>
                <c:pt idx="12">
                  <c:v>28105</c:v>
                </c:pt>
                <c:pt idx="13">
                  <c:v>28105</c:v>
                </c:pt>
                <c:pt idx="14">
                  <c:v>28105</c:v>
                </c:pt>
                <c:pt idx="15">
                  <c:v>28105</c:v>
                </c:pt>
                <c:pt idx="16">
                  <c:v>28105</c:v>
                </c:pt>
                <c:pt idx="17">
                  <c:v>28105</c:v>
                </c:pt>
                <c:pt idx="18">
                  <c:v>28105</c:v>
                </c:pt>
                <c:pt idx="19">
                  <c:v>28105</c:v>
                </c:pt>
                <c:pt idx="20">
                  <c:v>28105</c:v>
                </c:pt>
                <c:pt idx="21">
                  <c:v>28105</c:v>
                </c:pt>
                <c:pt idx="22">
                  <c:v>28105</c:v>
                </c:pt>
                <c:pt idx="23">
                  <c:v>28105</c:v>
                </c:pt>
                <c:pt idx="24">
                  <c:v>28105</c:v>
                </c:pt>
                <c:pt idx="25">
                  <c:v>28105</c:v>
                </c:pt>
              </c:numCache>
            </c:numRef>
          </c:val>
          <c:smooth val="0"/>
          <c:extLst>
            <c:ext xmlns:c16="http://schemas.microsoft.com/office/drawing/2014/chart" uri="{C3380CC4-5D6E-409C-BE32-E72D297353CC}">
              <c16:uniqueId val="{00000005-6804-427C-B40C-5F066B4ACF92}"/>
            </c:ext>
          </c:extLst>
        </c:ser>
        <c:ser>
          <c:idx val="6"/>
          <c:order val="6"/>
          <c:tx>
            <c:strRef>
              <c:f>'6. Lüderitz Industrial Demand'!$I$31</c:f>
              <c:strCache>
                <c:ptCount val="1"/>
                <c:pt idx="0">
                  <c:v>Lüderitz Shopping Centre</c:v>
                </c:pt>
              </c:strCache>
            </c:strRef>
          </c:tx>
          <c:spPr>
            <a:ln w="28575" cap="rnd">
              <a:solidFill>
                <a:schemeClr val="accent1">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Demand'!$I$32:$I$57</c:f>
              <c:numCache>
                <c:formatCode>#,##0</c:formatCode>
                <c:ptCount val="26"/>
                <c:pt idx="0">
                  <c:v>0</c:v>
                </c:pt>
                <c:pt idx="1">
                  <c:v>15877</c:v>
                </c:pt>
                <c:pt idx="2">
                  <c:v>15877</c:v>
                </c:pt>
                <c:pt idx="3">
                  <c:v>15877</c:v>
                </c:pt>
                <c:pt idx="4">
                  <c:v>15877</c:v>
                </c:pt>
                <c:pt idx="5">
                  <c:v>15877</c:v>
                </c:pt>
                <c:pt idx="6">
                  <c:v>15877</c:v>
                </c:pt>
                <c:pt idx="7">
                  <c:v>15877</c:v>
                </c:pt>
                <c:pt idx="8">
                  <c:v>15877</c:v>
                </c:pt>
                <c:pt idx="9">
                  <c:v>15877</c:v>
                </c:pt>
                <c:pt idx="10">
                  <c:v>15877</c:v>
                </c:pt>
                <c:pt idx="11">
                  <c:v>15877</c:v>
                </c:pt>
                <c:pt idx="12">
                  <c:v>15877</c:v>
                </c:pt>
                <c:pt idx="13">
                  <c:v>15877</c:v>
                </c:pt>
                <c:pt idx="14">
                  <c:v>15877</c:v>
                </c:pt>
                <c:pt idx="15">
                  <c:v>15877</c:v>
                </c:pt>
                <c:pt idx="16">
                  <c:v>15877</c:v>
                </c:pt>
                <c:pt idx="17">
                  <c:v>15877</c:v>
                </c:pt>
                <c:pt idx="18">
                  <c:v>15877</c:v>
                </c:pt>
                <c:pt idx="19">
                  <c:v>15877</c:v>
                </c:pt>
                <c:pt idx="20">
                  <c:v>15877</c:v>
                </c:pt>
                <c:pt idx="21">
                  <c:v>15877</c:v>
                </c:pt>
                <c:pt idx="22">
                  <c:v>15877</c:v>
                </c:pt>
                <c:pt idx="23">
                  <c:v>15877</c:v>
                </c:pt>
                <c:pt idx="24">
                  <c:v>15877</c:v>
                </c:pt>
                <c:pt idx="25">
                  <c:v>15877</c:v>
                </c:pt>
              </c:numCache>
            </c:numRef>
          </c:val>
          <c:smooth val="0"/>
          <c:extLst>
            <c:ext xmlns:c16="http://schemas.microsoft.com/office/drawing/2014/chart" uri="{C3380CC4-5D6E-409C-BE32-E72D297353CC}">
              <c16:uniqueId val="{00000006-6804-427C-B40C-5F066B4ACF92}"/>
            </c:ext>
          </c:extLst>
        </c:ser>
        <c:ser>
          <c:idx val="7"/>
          <c:order val="7"/>
          <c:tx>
            <c:strRef>
              <c:f>'6. Lüderitz Industrial Demand'!$J$31</c:f>
              <c:strCache>
                <c:ptCount val="1"/>
                <c:pt idx="0">
                  <c:v>NUST Campus </c:v>
                </c:pt>
              </c:strCache>
            </c:strRef>
          </c:tx>
          <c:spPr>
            <a:ln w="28575" cap="rnd">
              <a:solidFill>
                <a:schemeClr val="accent2">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Demand'!$J$32:$J$57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7-6804-427C-B40C-5F066B4ACF92}"/>
            </c:ext>
          </c:extLst>
        </c:ser>
        <c:ser>
          <c:idx val="8"/>
          <c:order val="8"/>
          <c:tx>
            <c:strRef>
              <c:f>'6. Lüderitz Industrial Demand'!$K$31</c:f>
              <c:strCache>
                <c:ptCount val="1"/>
                <c:pt idx="0">
                  <c:v>Oil &amp; Gas - TotalEnergies</c:v>
                </c:pt>
              </c:strCache>
            </c:strRef>
          </c:tx>
          <c:spPr>
            <a:ln w="28575" cap="rnd">
              <a:solidFill>
                <a:schemeClr val="accent3">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Demand'!$K$32:$K$57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8-6804-427C-B40C-5F066B4ACF92}"/>
            </c:ext>
          </c:extLst>
        </c:ser>
        <c:ser>
          <c:idx val="9"/>
          <c:order val="9"/>
          <c:tx>
            <c:strRef>
              <c:f>'6. Lüderitz Industrial Demand'!$L$31</c:f>
              <c:strCache>
                <c:ptCount val="1"/>
                <c:pt idx="0">
                  <c:v>Oil &amp; Gas - Haliburton</c:v>
                </c:pt>
              </c:strCache>
            </c:strRef>
          </c:tx>
          <c:spPr>
            <a:ln w="28575" cap="rnd">
              <a:solidFill>
                <a:schemeClr val="accent4">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Demand'!$L$32:$L$57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9-6804-427C-B40C-5F066B4ACF92}"/>
            </c:ext>
          </c:extLst>
        </c:ser>
        <c:ser>
          <c:idx val="10"/>
          <c:order val="10"/>
          <c:tx>
            <c:strRef>
              <c:f>'6. Lüderitz Industrial Demand'!$M$31</c:f>
              <c:strCache>
                <c:ptCount val="1"/>
                <c:pt idx="0">
                  <c:v>Oil &amp; Gas - ExxonMobil</c:v>
                </c:pt>
              </c:strCache>
            </c:strRef>
          </c:tx>
          <c:spPr>
            <a:ln w="28575" cap="rnd">
              <a:solidFill>
                <a:schemeClr val="accent5">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Demand'!$M$32:$M$57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A-6804-427C-B40C-5F066B4ACF92}"/>
            </c:ext>
          </c:extLst>
        </c:ser>
        <c:ser>
          <c:idx val="11"/>
          <c:order val="11"/>
          <c:tx>
            <c:strRef>
              <c:f>'6. Lüderitz Industrial Demand'!$N$31</c:f>
              <c:strCache>
                <c:ptCount val="1"/>
                <c:pt idx="0">
                  <c:v>Oil &amp; Gas - Chevron</c:v>
                </c:pt>
              </c:strCache>
            </c:strRef>
          </c:tx>
          <c:spPr>
            <a:ln w="28575" cap="rnd">
              <a:solidFill>
                <a:schemeClr val="accent6">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Demand'!$N$32:$N$57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B-6804-427C-B40C-5F066B4ACF92}"/>
            </c:ext>
          </c:extLst>
        </c:ser>
        <c:ser>
          <c:idx val="12"/>
          <c:order val="12"/>
          <c:tx>
            <c:strRef>
              <c:f>'6. Lüderitz Industrial Demand'!$O$31</c:f>
              <c:strCache>
                <c:ptCount val="1"/>
                <c:pt idx="0">
                  <c:v>Hyphen</c:v>
                </c:pt>
              </c:strCache>
            </c:strRef>
          </c:tx>
          <c:spPr>
            <a:ln w="28575" cap="rnd">
              <a:solidFill>
                <a:schemeClr val="accent1">
                  <a:lumMod val="80000"/>
                  <a:lumOff val="2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Demand'!$O$32:$O$57</c:f>
              <c:numCache>
                <c:formatCode>#,##0</c:formatCode>
                <c:ptCount val="26"/>
                <c:pt idx="0">
                  <c:v>0</c:v>
                </c:pt>
                <c:pt idx="1">
                  <c:v>0</c:v>
                </c:pt>
                <c:pt idx="2">
                  <c:v>1460000</c:v>
                </c:pt>
                <c:pt idx="3">
                  <c:v>1460000</c:v>
                </c:pt>
                <c:pt idx="4">
                  <c:v>1460000</c:v>
                </c:pt>
                <c:pt idx="5">
                  <c:v>1460000</c:v>
                </c:pt>
                <c:pt idx="6">
                  <c:v>10585000</c:v>
                </c:pt>
                <c:pt idx="7">
                  <c:v>10585000</c:v>
                </c:pt>
                <c:pt idx="8">
                  <c:v>10585000</c:v>
                </c:pt>
                <c:pt idx="9">
                  <c:v>18250000</c:v>
                </c:pt>
                <c:pt idx="10">
                  <c:v>18250000</c:v>
                </c:pt>
                <c:pt idx="11">
                  <c:v>18250000</c:v>
                </c:pt>
                <c:pt idx="12">
                  <c:v>18250000</c:v>
                </c:pt>
                <c:pt idx="13">
                  <c:v>18250000</c:v>
                </c:pt>
                <c:pt idx="14">
                  <c:v>18250000</c:v>
                </c:pt>
                <c:pt idx="15">
                  <c:v>18250000</c:v>
                </c:pt>
                <c:pt idx="16">
                  <c:v>18250000</c:v>
                </c:pt>
                <c:pt idx="17">
                  <c:v>18250000</c:v>
                </c:pt>
                <c:pt idx="18">
                  <c:v>18250000</c:v>
                </c:pt>
                <c:pt idx="19">
                  <c:v>18250000</c:v>
                </c:pt>
                <c:pt idx="20">
                  <c:v>18250000</c:v>
                </c:pt>
                <c:pt idx="21">
                  <c:v>18250000</c:v>
                </c:pt>
                <c:pt idx="22">
                  <c:v>18250000</c:v>
                </c:pt>
                <c:pt idx="23">
                  <c:v>18250000</c:v>
                </c:pt>
                <c:pt idx="24">
                  <c:v>18250000</c:v>
                </c:pt>
                <c:pt idx="25">
                  <c:v>18250000</c:v>
                </c:pt>
              </c:numCache>
            </c:numRef>
          </c:val>
          <c:smooth val="0"/>
          <c:extLst>
            <c:ext xmlns:c16="http://schemas.microsoft.com/office/drawing/2014/chart" uri="{C3380CC4-5D6E-409C-BE32-E72D297353CC}">
              <c16:uniqueId val="{0000000C-6804-427C-B40C-5F066B4ACF92}"/>
            </c:ext>
          </c:extLst>
        </c:ser>
        <c:ser>
          <c:idx val="13"/>
          <c:order val="13"/>
          <c:tx>
            <c:strRef>
              <c:f>'6. Lüderitz Industrial Demand'!$P$31</c:f>
              <c:strCache>
                <c:ptCount val="1"/>
                <c:pt idx="0">
                  <c:v>2nd SCDI Project</c:v>
                </c:pt>
              </c:strCache>
            </c:strRef>
          </c:tx>
          <c:spPr>
            <a:ln w="28575" cap="rnd">
              <a:solidFill>
                <a:schemeClr val="accent2">
                  <a:lumMod val="80000"/>
                  <a:lumOff val="2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Demand'!$P$32:$P$57</c:f>
              <c:numCache>
                <c:formatCode>#,##0</c:formatCode>
                <c:ptCount val="26"/>
                <c:pt idx="0">
                  <c:v>0</c:v>
                </c:pt>
                <c:pt idx="1">
                  <c:v>0</c:v>
                </c:pt>
                <c:pt idx="2">
                  <c:v>0</c:v>
                </c:pt>
                <c:pt idx="3">
                  <c:v>0</c:v>
                </c:pt>
                <c:pt idx="4">
                  <c:v>0</c:v>
                </c:pt>
                <c:pt idx="5">
                  <c:v>0</c:v>
                </c:pt>
                <c:pt idx="6">
                  <c:v>0</c:v>
                </c:pt>
                <c:pt idx="7">
                  <c:v>0</c:v>
                </c:pt>
                <c:pt idx="8">
                  <c:v>0</c:v>
                </c:pt>
                <c:pt idx="9">
                  <c:v>0</c:v>
                </c:pt>
                <c:pt idx="10">
                  <c:v>1460000</c:v>
                </c:pt>
                <c:pt idx="11">
                  <c:v>1460000</c:v>
                </c:pt>
                <c:pt idx="12">
                  <c:v>1460000</c:v>
                </c:pt>
                <c:pt idx="13">
                  <c:v>1460000</c:v>
                </c:pt>
                <c:pt idx="14">
                  <c:v>10585000</c:v>
                </c:pt>
                <c:pt idx="15">
                  <c:v>10585000</c:v>
                </c:pt>
                <c:pt idx="16">
                  <c:v>10585000</c:v>
                </c:pt>
                <c:pt idx="17">
                  <c:v>18250000</c:v>
                </c:pt>
                <c:pt idx="18">
                  <c:v>18250000</c:v>
                </c:pt>
                <c:pt idx="19">
                  <c:v>18250000</c:v>
                </c:pt>
                <c:pt idx="20">
                  <c:v>18250000</c:v>
                </c:pt>
                <c:pt idx="21">
                  <c:v>18250000</c:v>
                </c:pt>
                <c:pt idx="22">
                  <c:v>18250000</c:v>
                </c:pt>
                <c:pt idx="23">
                  <c:v>18250000</c:v>
                </c:pt>
                <c:pt idx="24">
                  <c:v>18250000</c:v>
                </c:pt>
                <c:pt idx="25">
                  <c:v>18250000</c:v>
                </c:pt>
              </c:numCache>
            </c:numRef>
          </c:val>
          <c:smooth val="0"/>
          <c:extLst>
            <c:ext xmlns:c16="http://schemas.microsoft.com/office/drawing/2014/chart" uri="{C3380CC4-5D6E-409C-BE32-E72D297353CC}">
              <c16:uniqueId val="{0000000D-6804-427C-B40C-5F066B4ACF92}"/>
            </c:ext>
          </c:extLst>
        </c:ser>
        <c:dLbls>
          <c:showLegendKey val="0"/>
          <c:showVal val="0"/>
          <c:showCatName val="0"/>
          <c:showSerName val="0"/>
          <c:showPercent val="0"/>
          <c:showBubbleSize val="0"/>
        </c:dLbls>
        <c:smooth val="0"/>
        <c:axId val="749816928"/>
        <c:axId val="749813088"/>
        <c:extLst>
          <c:ext xmlns:c15="http://schemas.microsoft.com/office/drawing/2012/chart" uri="{02D57815-91ED-43cb-92C2-25804820EDAC}">
            <c15:filteredLineSeries>
              <c15:ser>
                <c:idx val="1"/>
                <c:order val="1"/>
                <c:tx>
                  <c:strRef>
                    <c:extLst>
                      <c:ext uri="{02D57815-91ED-43cb-92C2-25804820EDAC}">
                        <c15:formulaRef>
                          <c15:sqref>'6. Lüderitz Industrial Demand'!$D$31</c15:sqref>
                        </c15:formulaRef>
                      </c:ext>
                    </c:extLst>
                    <c:strCache>
                      <c:ptCount val="1"/>
                    </c:strCache>
                  </c:strRef>
                </c:tx>
                <c:spPr>
                  <a:ln w="28575" cap="rnd">
                    <a:solidFill>
                      <a:schemeClr val="accent2"/>
                    </a:solidFill>
                    <a:round/>
                  </a:ln>
                  <a:effectLst/>
                </c:spPr>
                <c:marker>
                  <c:symbol val="none"/>
                </c:marker>
                <c:cat>
                  <c:numRef>
                    <c:extLst>
                      <c:ext uri="{02D57815-91ED-43cb-92C2-25804820EDAC}">
                        <c15:formulaRef>
                          <c15:sqref>'6. Lüderitz Industrial Demand'!$B$32:$B$57</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uri="{02D57815-91ED-43cb-92C2-25804820EDAC}">
                        <c15:formulaRef>
                          <c15:sqref>'6. Lüderitz Industrial Demand'!$D$32:$D$57</c15:sqref>
                        </c15:formulaRef>
                      </c:ext>
                    </c:extLst>
                    <c:numCache>
                      <c:formatCode>General</c:formatCode>
                      <c:ptCount val="26"/>
                    </c:numCache>
                  </c:numRef>
                </c:val>
                <c:smooth val="0"/>
                <c:extLst>
                  <c:ext xmlns:c16="http://schemas.microsoft.com/office/drawing/2014/chart" uri="{C3380CC4-5D6E-409C-BE32-E72D297353CC}">
                    <c16:uniqueId val="{00000001-6804-427C-B40C-5F066B4ACF92}"/>
                  </c:ext>
                </c:extLst>
              </c15:ser>
            </c15:filteredLineSeries>
          </c:ext>
        </c:extLst>
      </c:lineChart>
      <c:catAx>
        <c:axId val="74981692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49813088"/>
        <c:crosses val="autoZero"/>
        <c:auto val="1"/>
        <c:lblAlgn val="ctr"/>
        <c:lblOffset val="100"/>
        <c:noMultiLvlLbl val="0"/>
      </c:catAx>
      <c:valAx>
        <c:axId val="749813088"/>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Industrial Water Demand [m3/year]</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74981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de-DE" b="1"/>
              <a:t>Figure 1: Industrial Demand per Industry (Excluding Green Hydrogen) with 2024 Industrial Demand Comparison </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stacked"/>
        <c:varyColors val="0"/>
        <c:ser>
          <c:idx val="2"/>
          <c:order val="2"/>
          <c:tx>
            <c:strRef>
              <c:f>'6. Lüderitz Industrial Demand'!$E$31</c:f>
              <c:strCache>
                <c:ptCount val="1"/>
                <c:pt idx="0">
                  <c:v>Benguela Blue</c:v>
                </c:pt>
              </c:strCache>
            </c:strRef>
          </c:tx>
          <c:spPr>
            <a:solidFill>
              <a:schemeClr val="accent3"/>
            </a:solidFill>
            <a:ln>
              <a:noFill/>
            </a:ln>
            <a:effectLst/>
          </c:spPr>
          <c:invertIfNegative val="0"/>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Demand'!$E$32:$E$57</c:f>
              <c:numCache>
                <c:formatCode>#,##0</c:formatCode>
                <c:ptCount val="26"/>
                <c:pt idx="0">
                  <c:v>0</c:v>
                </c:pt>
                <c:pt idx="1">
                  <c:v>109500</c:v>
                </c:pt>
                <c:pt idx="2">
                  <c:v>109500</c:v>
                </c:pt>
                <c:pt idx="3">
                  <c:v>109500</c:v>
                </c:pt>
                <c:pt idx="4">
                  <c:v>109500</c:v>
                </c:pt>
                <c:pt idx="5">
                  <c:v>109500</c:v>
                </c:pt>
                <c:pt idx="6">
                  <c:v>219000</c:v>
                </c:pt>
                <c:pt idx="7">
                  <c:v>219000</c:v>
                </c:pt>
                <c:pt idx="8">
                  <c:v>219000</c:v>
                </c:pt>
                <c:pt idx="9">
                  <c:v>328500</c:v>
                </c:pt>
                <c:pt idx="10">
                  <c:v>328500</c:v>
                </c:pt>
                <c:pt idx="11">
                  <c:v>328500</c:v>
                </c:pt>
                <c:pt idx="12">
                  <c:v>328500</c:v>
                </c:pt>
                <c:pt idx="13">
                  <c:v>328500</c:v>
                </c:pt>
                <c:pt idx="14">
                  <c:v>328500</c:v>
                </c:pt>
                <c:pt idx="15">
                  <c:v>328500</c:v>
                </c:pt>
                <c:pt idx="16">
                  <c:v>328500</c:v>
                </c:pt>
                <c:pt idx="17">
                  <c:v>328500</c:v>
                </c:pt>
                <c:pt idx="18">
                  <c:v>328500</c:v>
                </c:pt>
                <c:pt idx="19">
                  <c:v>328500</c:v>
                </c:pt>
                <c:pt idx="20">
                  <c:v>328500</c:v>
                </c:pt>
                <c:pt idx="21">
                  <c:v>328500</c:v>
                </c:pt>
                <c:pt idx="22">
                  <c:v>328500</c:v>
                </c:pt>
                <c:pt idx="23">
                  <c:v>328500</c:v>
                </c:pt>
                <c:pt idx="24">
                  <c:v>328500</c:v>
                </c:pt>
                <c:pt idx="25">
                  <c:v>328500</c:v>
                </c:pt>
              </c:numCache>
            </c:numRef>
          </c:val>
          <c:extLst>
            <c:ext xmlns:c16="http://schemas.microsoft.com/office/drawing/2014/chart" uri="{C3380CC4-5D6E-409C-BE32-E72D297353CC}">
              <c16:uniqueId val="{00000002-20FD-435D-8D68-54EB7C06AE22}"/>
            </c:ext>
          </c:extLst>
        </c:ser>
        <c:ser>
          <c:idx val="3"/>
          <c:order val="3"/>
          <c:tx>
            <c:strRef>
              <c:f>'6. Lüderitz Industrial Demand'!$F$31</c:f>
              <c:strCache>
                <c:ptCount val="1"/>
                <c:pt idx="0">
                  <c:v>AAC</c:v>
                </c:pt>
              </c:strCache>
            </c:strRef>
          </c:tx>
          <c:spPr>
            <a:solidFill>
              <a:schemeClr val="accent4"/>
            </a:solidFill>
            <a:ln>
              <a:noFill/>
            </a:ln>
            <a:effectLst/>
          </c:spPr>
          <c:invertIfNegative val="0"/>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Demand'!$F$32:$F$57</c:f>
              <c:numCache>
                <c:formatCode>#,##0</c:formatCode>
                <c:ptCount val="26"/>
                <c:pt idx="0">
                  <c:v>0</c:v>
                </c:pt>
                <c:pt idx="1">
                  <c:v>159557.14285714284</c:v>
                </c:pt>
                <c:pt idx="2">
                  <c:v>159557.14285714284</c:v>
                </c:pt>
                <c:pt idx="3">
                  <c:v>159557.14285714284</c:v>
                </c:pt>
                <c:pt idx="4">
                  <c:v>159557.14285714284</c:v>
                </c:pt>
                <c:pt idx="5">
                  <c:v>159557.14285714284</c:v>
                </c:pt>
                <c:pt idx="6">
                  <c:v>319114.28571428568</c:v>
                </c:pt>
                <c:pt idx="7">
                  <c:v>319114.28571428568</c:v>
                </c:pt>
                <c:pt idx="8">
                  <c:v>319114.28571428568</c:v>
                </c:pt>
                <c:pt idx="9">
                  <c:v>478671.42857142852</c:v>
                </c:pt>
                <c:pt idx="10">
                  <c:v>478671.42857142852</c:v>
                </c:pt>
                <c:pt idx="11">
                  <c:v>478671.42857142852</c:v>
                </c:pt>
                <c:pt idx="12">
                  <c:v>478671.42857142852</c:v>
                </c:pt>
                <c:pt idx="13">
                  <c:v>478671.42857142852</c:v>
                </c:pt>
                <c:pt idx="14">
                  <c:v>478671.42857142852</c:v>
                </c:pt>
                <c:pt idx="15">
                  <c:v>478671.42857142852</c:v>
                </c:pt>
                <c:pt idx="16">
                  <c:v>478671.42857142852</c:v>
                </c:pt>
                <c:pt idx="17">
                  <c:v>478671.42857142852</c:v>
                </c:pt>
                <c:pt idx="18">
                  <c:v>478671.42857142852</c:v>
                </c:pt>
                <c:pt idx="19">
                  <c:v>478671.42857142852</c:v>
                </c:pt>
                <c:pt idx="20">
                  <c:v>478671.42857142852</c:v>
                </c:pt>
                <c:pt idx="21">
                  <c:v>478671.42857142852</c:v>
                </c:pt>
                <c:pt idx="22">
                  <c:v>478671.42857142852</c:v>
                </c:pt>
                <c:pt idx="23">
                  <c:v>478671.42857142852</c:v>
                </c:pt>
                <c:pt idx="24">
                  <c:v>478671.42857142852</c:v>
                </c:pt>
                <c:pt idx="25">
                  <c:v>478671.42857142852</c:v>
                </c:pt>
              </c:numCache>
            </c:numRef>
          </c:val>
          <c:extLst>
            <c:ext xmlns:c16="http://schemas.microsoft.com/office/drawing/2014/chart" uri="{C3380CC4-5D6E-409C-BE32-E72D297353CC}">
              <c16:uniqueId val="{00000003-20FD-435D-8D68-54EB7C06AE22}"/>
            </c:ext>
          </c:extLst>
        </c:ser>
        <c:ser>
          <c:idx val="4"/>
          <c:order val="4"/>
          <c:tx>
            <c:strRef>
              <c:f>'6. Lüderitz Industrial Demand'!$G$31</c:f>
              <c:strCache>
                <c:ptCount val="1"/>
                <c:pt idx="0">
                  <c:v>Kelp Blue</c:v>
                </c:pt>
              </c:strCache>
            </c:strRef>
          </c:tx>
          <c:spPr>
            <a:solidFill>
              <a:schemeClr val="accent5"/>
            </a:solidFill>
            <a:ln>
              <a:noFill/>
            </a:ln>
            <a:effectLst/>
          </c:spPr>
          <c:invertIfNegative val="0"/>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Demand'!$G$32:$G$57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20FD-435D-8D68-54EB7C06AE22}"/>
            </c:ext>
          </c:extLst>
        </c:ser>
        <c:ser>
          <c:idx val="5"/>
          <c:order val="5"/>
          <c:tx>
            <c:strRef>
              <c:f>'6. Lüderitz Industrial Demand'!$H$31</c:f>
              <c:strCache>
                <c:ptCount val="1"/>
                <c:pt idx="0">
                  <c:v>CUMET Expansion</c:v>
                </c:pt>
              </c:strCache>
            </c:strRef>
          </c:tx>
          <c:spPr>
            <a:solidFill>
              <a:schemeClr val="accent6"/>
            </a:solidFill>
            <a:ln>
              <a:noFill/>
            </a:ln>
            <a:effectLst/>
          </c:spPr>
          <c:invertIfNegative val="0"/>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Demand'!$H$32:$H$57</c:f>
              <c:numCache>
                <c:formatCode>#,##0</c:formatCode>
                <c:ptCount val="26"/>
                <c:pt idx="0">
                  <c:v>0</c:v>
                </c:pt>
                <c:pt idx="1">
                  <c:v>0</c:v>
                </c:pt>
                <c:pt idx="2">
                  <c:v>0</c:v>
                </c:pt>
                <c:pt idx="3">
                  <c:v>0</c:v>
                </c:pt>
                <c:pt idx="4">
                  <c:v>0</c:v>
                </c:pt>
                <c:pt idx="5">
                  <c:v>28105</c:v>
                </c:pt>
                <c:pt idx="6">
                  <c:v>28105</c:v>
                </c:pt>
                <c:pt idx="7">
                  <c:v>28105</c:v>
                </c:pt>
                <c:pt idx="8">
                  <c:v>28105</c:v>
                </c:pt>
                <c:pt idx="9">
                  <c:v>28105</c:v>
                </c:pt>
                <c:pt idx="10">
                  <c:v>28105</c:v>
                </c:pt>
                <c:pt idx="11">
                  <c:v>28105</c:v>
                </c:pt>
                <c:pt idx="12">
                  <c:v>28105</c:v>
                </c:pt>
                <c:pt idx="13">
                  <c:v>28105</c:v>
                </c:pt>
                <c:pt idx="14">
                  <c:v>28105</c:v>
                </c:pt>
                <c:pt idx="15">
                  <c:v>28105</c:v>
                </c:pt>
                <c:pt idx="16">
                  <c:v>28105</c:v>
                </c:pt>
                <c:pt idx="17">
                  <c:v>28105</c:v>
                </c:pt>
                <c:pt idx="18">
                  <c:v>28105</c:v>
                </c:pt>
                <c:pt idx="19">
                  <c:v>28105</c:v>
                </c:pt>
                <c:pt idx="20">
                  <c:v>28105</c:v>
                </c:pt>
                <c:pt idx="21">
                  <c:v>28105</c:v>
                </c:pt>
                <c:pt idx="22">
                  <c:v>28105</c:v>
                </c:pt>
                <c:pt idx="23">
                  <c:v>28105</c:v>
                </c:pt>
                <c:pt idx="24">
                  <c:v>28105</c:v>
                </c:pt>
                <c:pt idx="25">
                  <c:v>28105</c:v>
                </c:pt>
              </c:numCache>
            </c:numRef>
          </c:val>
          <c:extLst>
            <c:ext xmlns:c16="http://schemas.microsoft.com/office/drawing/2014/chart" uri="{C3380CC4-5D6E-409C-BE32-E72D297353CC}">
              <c16:uniqueId val="{00000005-20FD-435D-8D68-54EB7C06AE22}"/>
            </c:ext>
          </c:extLst>
        </c:ser>
        <c:ser>
          <c:idx val="6"/>
          <c:order val="6"/>
          <c:tx>
            <c:strRef>
              <c:f>'6. Lüderitz Industrial Demand'!$I$31</c:f>
              <c:strCache>
                <c:ptCount val="1"/>
                <c:pt idx="0">
                  <c:v>Lüderitz Shopping Centre</c:v>
                </c:pt>
              </c:strCache>
            </c:strRef>
          </c:tx>
          <c:spPr>
            <a:solidFill>
              <a:schemeClr val="accent1">
                <a:lumMod val="60000"/>
              </a:schemeClr>
            </a:solidFill>
            <a:ln>
              <a:noFill/>
            </a:ln>
            <a:effectLst/>
          </c:spPr>
          <c:invertIfNegative val="0"/>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Demand'!$I$32:$I$57</c:f>
              <c:numCache>
                <c:formatCode>#,##0</c:formatCode>
                <c:ptCount val="26"/>
                <c:pt idx="0">
                  <c:v>0</c:v>
                </c:pt>
                <c:pt idx="1">
                  <c:v>15877</c:v>
                </c:pt>
                <c:pt idx="2">
                  <c:v>15877</c:v>
                </c:pt>
                <c:pt idx="3">
                  <c:v>15877</c:v>
                </c:pt>
                <c:pt idx="4">
                  <c:v>15877</c:v>
                </c:pt>
                <c:pt idx="5">
                  <c:v>15877</c:v>
                </c:pt>
                <c:pt idx="6">
                  <c:v>15877</c:v>
                </c:pt>
                <c:pt idx="7">
                  <c:v>15877</c:v>
                </c:pt>
                <c:pt idx="8">
                  <c:v>15877</c:v>
                </c:pt>
                <c:pt idx="9">
                  <c:v>15877</c:v>
                </c:pt>
                <c:pt idx="10">
                  <c:v>15877</c:v>
                </c:pt>
                <c:pt idx="11">
                  <c:v>15877</c:v>
                </c:pt>
                <c:pt idx="12">
                  <c:v>15877</c:v>
                </c:pt>
                <c:pt idx="13">
                  <c:v>15877</c:v>
                </c:pt>
                <c:pt idx="14">
                  <c:v>15877</c:v>
                </c:pt>
                <c:pt idx="15">
                  <c:v>15877</c:v>
                </c:pt>
                <c:pt idx="16">
                  <c:v>15877</c:v>
                </c:pt>
                <c:pt idx="17">
                  <c:v>15877</c:v>
                </c:pt>
                <c:pt idx="18">
                  <c:v>15877</c:v>
                </c:pt>
                <c:pt idx="19">
                  <c:v>15877</c:v>
                </c:pt>
                <c:pt idx="20">
                  <c:v>15877</c:v>
                </c:pt>
                <c:pt idx="21">
                  <c:v>15877</c:v>
                </c:pt>
                <c:pt idx="22">
                  <c:v>15877</c:v>
                </c:pt>
                <c:pt idx="23">
                  <c:v>15877</c:v>
                </c:pt>
                <c:pt idx="24">
                  <c:v>15877</c:v>
                </c:pt>
                <c:pt idx="25">
                  <c:v>15877</c:v>
                </c:pt>
              </c:numCache>
            </c:numRef>
          </c:val>
          <c:extLst>
            <c:ext xmlns:c16="http://schemas.microsoft.com/office/drawing/2014/chart" uri="{C3380CC4-5D6E-409C-BE32-E72D297353CC}">
              <c16:uniqueId val="{00000006-20FD-435D-8D68-54EB7C06AE22}"/>
            </c:ext>
          </c:extLst>
        </c:ser>
        <c:dLbls>
          <c:showLegendKey val="0"/>
          <c:showVal val="0"/>
          <c:showCatName val="0"/>
          <c:showSerName val="0"/>
          <c:showPercent val="0"/>
          <c:showBubbleSize val="0"/>
        </c:dLbls>
        <c:gapWidth val="150"/>
        <c:overlap val="100"/>
        <c:axId val="1148084560"/>
        <c:axId val="1148079280"/>
        <c:extLst>
          <c:ext xmlns:c15="http://schemas.microsoft.com/office/drawing/2012/chart" uri="{02D57815-91ED-43cb-92C2-25804820EDAC}">
            <c15:filteredBarSeries>
              <c15:ser>
                <c:idx val="1"/>
                <c:order val="1"/>
                <c:tx>
                  <c:strRef>
                    <c:extLst>
                      <c:ext uri="{02D57815-91ED-43cb-92C2-25804820EDAC}">
                        <c15:formulaRef>
                          <c15:sqref>'6. Lüderitz Industrial Demand'!$D$31</c15:sqref>
                        </c15:formulaRef>
                      </c:ext>
                    </c:extLst>
                    <c:strCache>
                      <c:ptCount val="1"/>
                    </c:strCache>
                  </c:strRef>
                </c:tx>
                <c:spPr>
                  <a:solidFill>
                    <a:schemeClr val="accent2"/>
                  </a:solidFill>
                  <a:ln>
                    <a:noFill/>
                  </a:ln>
                  <a:effectLst/>
                </c:spPr>
                <c:invertIfNegative val="0"/>
                <c:cat>
                  <c:numRef>
                    <c:extLst>
                      <c:ext uri="{02D57815-91ED-43cb-92C2-25804820EDAC}">
                        <c15:formulaRef>
                          <c15:sqref>'6. Lüderitz Industrial Demand'!$B$32:$B$57</c15:sqref>
                        </c15:formulaRef>
                      </c:ext>
                    </c:extLst>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extLst>
                      <c:ext uri="{02D57815-91ED-43cb-92C2-25804820EDAC}">
                        <c15:formulaRef>
                          <c15:sqref>'6. Lüderitz Industrial Demand'!$D$32:$D$57</c15:sqref>
                        </c15:formulaRef>
                      </c:ext>
                    </c:extLst>
                    <c:numCache>
                      <c:formatCode>General</c:formatCode>
                      <c:ptCount val="26"/>
                    </c:numCache>
                  </c:numRef>
                </c:val>
                <c:extLst>
                  <c:ext xmlns:c16="http://schemas.microsoft.com/office/drawing/2014/chart" uri="{C3380CC4-5D6E-409C-BE32-E72D297353CC}">
                    <c16:uniqueId val="{00000001-20FD-435D-8D68-54EB7C06AE22}"/>
                  </c:ext>
                </c:extLst>
              </c15:ser>
            </c15:filteredBarSeries>
          </c:ext>
        </c:extLst>
      </c:barChart>
      <c:lineChart>
        <c:grouping val="standard"/>
        <c:varyColors val="0"/>
        <c:ser>
          <c:idx val="0"/>
          <c:order val="0"/>
          <c:tx>
            <c:strRef>
              <c:f>'6. Lüderitz Industrial Demand'!$C$31</c:f>
              <c:strCache>
                <c:ptCount val="1"/>
                <c:pt idx="0">
                  <c:v>2024 Industrial  Demand Growth Rate</c:v>
                </c:pt>
              </c:strCache>
            </c:strRef>
          </c:tx>
          <c:spPr>
            <a:ln w="28575" cap="rnd">
              <a:solidFill>
                <a:schemeClr val="accent1"/>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Demand'!$C$32:$C$57</c:f>
              <c:numCache>
                <c:formatCode>#,##0</c:formatCode>
                <c:ptCount val="26"/>
                <c:pt idx="0">
                  <c:v>409968</c:v>
                </c:pt>
                <c:pt idx="1">
                  <c:v>442765.44</c:v>
                </c:pt>
                <c:pt idx="2">
                  <c:v>478186.6752</c:v>
                </c:pt>
                <c:pt idx="3">
                  <c:v>516441.60921600001</c:v>
                </c:pt>
                <c:pt idx="4">
                  <c:v>557756.93795328005</c:v>
                </c:pt>
                <c:pt idx="5">
                  <c:v>602377.49298954243</c:v>
                </c:pt>
                <c:pt idx="6">
                  <c:v>650567.69242870586</c:v>
                </c:pt>
                <c:pt idx="7">
                  <c:v>702613.10782300238</c:v>
                </c:pt>
                <c:pt idx="8">
                  <c:v>758822.15644884261</c:v>
                </c:pt>
                <c:pt idx="9">
                  <c:v>819527.92896475003</c:v>
                </c:pt>
                <c:pt idx="10">
                  <c:v>885090.16328193003</c:v>
                </c:pt>
                <c:pt idx="11">
                  <c:v>955897.37634448439</c:v>
                </c:pt>
                <c:pt idx="12">
                  <c:v>1032369.1664520431</c:v>
                </c:pt>
                <c:pt idx="13">
                  <c:v>1114958.6997682066</c:v>
                </c:pt>
                <c:pt idx="14">
                  <c:v>1204155.395749663</c:v>
                </c:pt>
                <c:pt idx="15">
                  <c:v>1300487.827409636</c:v>
                </c:pt>
                <c:pt idx="16">
                  <c:v>1404526.8536024068</c:v>
                </c:pt>
                <c:pt idx="17">
                  <c:v>1516889.0018905993</c:v>
                </c:pt>
                <c:pt idx="18">
                  <c:v>1638240.1220418471</c:v>
                </c:pt>
                <c:pt idx="19">
                  <c:v>1769299.331805195</c:v>
                </c:pt>
                <c:pt idx="20">
                  <c:v>1910843.2783496105</c:v>
                </c:pt>
                <c:pt idx="21">
                  <c:v>2063710.7406175793</c:v>
                </c:pt>
                <c:pt idx="22">
                  <c:v>2228807.5998669858</c:v>
                </c:pt>
                <c:pt idx="23">
                  <c:v>2407112.2078563445</c:v>
                </c:pt>
                <c:pt idx="24">
                  <c:v>2599681.184484852</c:v>
                </c:pt>
                <c:pt idx="25">
                  <c:v>2807655.67924364</c:v>
                </c:pt>
              </c:numCache>
            </c:numRef>
          </c:val>
          <c:smooth val="0"/>
          <c:extLst>
            <c:ext xmlns:c16="http://schemas.microsoft.com/office/drawing/2014/chart" uri="{C3380CC4-5D6E-409C-BE32-E72D297353CC}">
              <c16:uniqueId val="{00000000-20FD-435D-8D68-54EB7C06AE22}"/>
            </c:ext>
          </c:extLst>
        </c:ser>
        <c:ser>
          <c:idx val="7"/>
          <c:order val="7"/>
          <c:tx>
            <c:strRef>
              <c:f>'6. Lüderitz Industrial Demand'!$J$31</c:f>
              <c:strCache>
                <c:ptCount val="1"/>
                <c:pt idx="0">
                  <c:v>NUST Campus </c:v>
                </c:pt>
              </c:strCache>
            </c:strRef>
          </c:tx>
          <c:spPr>
            <a:ln w="28575" cap="rnd">
              <a:solidFill>
                <a:schemeClr val="accent2">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Demand'!$J$32:$J$57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7-20FD-435D-8D68-54EB7C06AE22}"/>
            </c:ext>
          </c:extLst>
        </c:ser>
        <c:ser>
          <c:idx val="8"/>
          <c:order val="8"/>
          <c:tx>
            <c:strRef>
              <c:f>'6. Lüderitz Industrial Demand'!$K$31</c:f>
              <c:strCache>
                <c:ptCount val="1"/>
                <c:pt idx="0">
                  <c:v>Oil &amp; Gas - TotalEnergies</c:v>
                </c:pt>
              </c:strCache>
            </c:strRef>
          </c:tx>
          <c:spPr>
            <a:ln w="28575" cap="rnd">
              <a:solidFill>
                <a:schemeClr val="accent3">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Demand'!$K$32:$K$57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8-20FD-435D-8D68-54EB7C06AE22}"/>
            </c:ext>
          </c:extLst>
        </c:ser>
        <c:ser>
          <c:idx val="9"/>
          <c:order val="9"/>
          <c:tx>
            <c:strRef>
              <c:f>'6. Lüderitz Industrial Demand'!$L$31</c:f>
              <c:strCache>
                <c:ptCount val="1"/>
                <c:pt idx="0">
                  <c:v>Oil &amp; Gas - Haliburton</c:v>
                </c:pt>
              </c:strCache>
            </c:strRef>
          </c:tx>
          <c:spPr>
            <a:ln w="28575" cap="rnd">
              <a:solidFill>
                <a:schemeClr val="accent4">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Demand'!$L$32:$L$57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9-20FD-435D-8D68-54EB7C06AE22}"/>
            </c:ext>
          </c:extLst>
        </c:ser>
        <c:ser>
          <c:idx val="10"/>
          <c:order val="10"/>
          <c:tx>
            <c:strRef>
              <c:f>'6. Lüderitz Industrial Demand'!$M$31</c:f>
              <c:strCache>
                <c:ptCount val="1"/>
                <c:pt idx="0">
                  <c:v>Oil &amp; Gas - ExxonMobil</c:v>
                </c:pt>
              </c:strCache>
            </c:strRef>
          </c:tx>
          <c:spPr>
            <a:ln w="28575" cap="rnd">
              <a:solidFill>
                <a:schemeClr val="accent5">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Demand'!$M$32:$M$57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A-20FD-435D-8D68-54EB7C06AE22}"/>
            </c:ext>
          </c:extLst>
        </c:ser>
        <c:ser>
          <c:idx val="11"/>
          <c:order val="11"/>
          <c:tx>
            <c:strRef>
              <c:f>'6. Lüderitz Industrial Demand'!$N$31</c:f>
              <c:strCache>
                <c:ptCount val="1"/>
                <c:pt idx="0">
                  <c:v>Oil &amp; Gas - Chevron</c:v>
                </c:pt>
              </c:strCache>
            </c:strRef>
          </c:tx>
          <c:spPr>
            <a:ln w="28575" cap="rnd">
              <a:solidFill>
                <a:schemeClr val="accent6">
                  <a:lumMod val="60000"/>
                </a:schemeClr>
              </a:solidFill>
              <a:round/>
            </a:ln>
            <a:effectLst/>
          </c:spPr>
          <c:marker>
            <c:symbol val="none"/>
          </c:marker>
          <c:cat>
            <c:numRef>
              <c:f>'6. Lüderitz Industrial Demand'!$B$32:$B$57</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'6. Lüderitz Industrial Demand'!$N$32:$N$57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B-20FD-435D-8D68-54EB7C06AE22}"/>
            </c:ext>
          </c:extLst>
        </c:ser>
        <c:ser>
          <c:idx val="12"/>
          <c:order val="12"/>
          <c:tx>
            <c:strRef>
              <c:f>'6. Lüderitz Industrial Demand'!$R$31</c:f>
              <c:strCache>
                <c:ptCount val="1"/>
                <c:pt idx="0">
                  <c:v>Total without Hydroge-Related Demand</c:v>
                </c:pt>
              </c:strCache>
            </c:strRef>
          </c:tx>
          <c:spPr>
            <a:ln w="28575" cap="rnd">
              <a:solidFill>
                <a:schemeClr val="accent1">
                  <a:lumMod val="80000"/>
                  <a:lumOff val="20000"/>
                </a:schemeClr>
              </a:solidFill>
              <a:round/>
            </a:ln>
            <a:effectLst/>
          </c:spPr>
          <c:marker>
            <c:symbol val="none"/>
          </c:marker>
          <c:val>
            <c:numRef>
              <c:f>'6. Lüderitz Industrial Demand'!$R$32:$R$57</c:f>
              <c:numCache>
                <c:formatCode>#,##0</c:formatCode>
                <c:ptCount val="26"/>
                <c:pt idx="0">
                  <c:v>409968</c:v>
                </c:pt>
                <c:pt idx="1">
                  <c:v>694902.14285714284</c:v>
                </c:pt>
                <c:pt idx="2">
                  <c:v>694902.14285714272</c:v>
                </c:pt>
                <c:pt idx="3">
                  <c:v>694902.14285714272</c:v>
                </c:pt>
                <c:pt idx="4">
                  <c:v>694902.14285714272</c:v>
                </c:pt>
                <c:pt idx="5">
                  <c:v>723007.14285714272</c:v>
                </c:pt>
                <c:pt idx="6">
                  <c:v>992064.28571428545</c:v>
                </c:pt>
                <c:pt idx="7">
                  <c:v>992064.28571428545</c:v>
                </c:pt>
                <c:pt idx="8">
                  <c:v>992064.28571428545</c:v>
                </c:pt>
                <c:pt idx="9">
                  <c:v>1261121.4285714291</c:v>
                </c:pt>
                <c:pt idx="10">
                  <c:v>1261121.4285714291</c:v>
                </c:pt>
                <c:pt idx="11">
                  <c:v>1261121.4285714291</c:v>
                </c:pt>
                <c:pt idx="12">
                  <c:v>1261121.4285714291</c:v>
                </c:pt>
                <c:pt idx="13">
                  <c:v>1261121.4285714291</c:v>
                </c:pt>
                <c:pt idx="14">
                  <c:v>1261121.4285714291</c:v>
                </c:pt>
                <c:pt idx="15">
                  <c:v>1261121.4285714291</c:v>
                </c:pt>
                <c:pt idx="16">
                  <c:v>1261121.4285714291</c:v>
                </c:pt>
                <c:pt idx="17">
                  <c:v>1261121.4285714328</c:v>
                </c:pt>
                <c:pt idx="18">
                  <c:v>1261121.4285714328</c:v>
                </c:pt>
                <c:pt idx="19">
                  <c:v>1261121.4285714328</c:v>
                </c:pt>
                <c:pt idx="20">
                  <c:v>1261121.4285714328</c:v>
                </c:pt>
                <c:pt idx="21">
                  <c:v>1261121.4285714328</c:v>
                </c:pt>
                <c:pt idx="22">
                  <c:v>1261121.4285714328</c:v>
                </c:pt>
                <c:pt idx="23">
                  <c:v>1261121.4285714328</c:v>
                </c:pt>
                <c:pt idx="24">
                  <c:v>1261121.4285714328</c:v>
                </c:pt>
                <c:pt idx="25">
                  <c:v>1261121.4285714328</c:v>
                </c:pt>
              </c:numCache>
            </c:numRef>
          </c:val>
          <c:smooth val="0"/>
          <c:extLst>
            <c:ext xmlns:c16="http://schemas.microsoft.com/office/drawing/2014/chart" uri="{C3380CC4-5D6E-409C-BE32-E72D297353CC}">
              <c16:uniqueId val="{0000000D-20FD-435D-8D68-54EB7C06AE22}"/>
            </c:ext>
          </c:extLst>
        </c:ser>
        <c:dLbls>
          <c:showLegendKey val="0"/>
          <c:showVal val="0"/>
          <c:showCatName val="0"/>
          <c:showSerName val="0"/>
          <c:showPercent val="0"/>
          <c:showBubbleSize val="0"/>
        </c:dLbls>
        <c:marker val="1"/>
        <c:smooth val="0"/>
        <c:axId val="1148084560"/>
        <c:axId val="1148079280"/>
      </c:lineChart>
      <c:catAx>
        <c:axId val="1148084560"/>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1148079280"/>
        <c:crosses val="autoZero"/>
        <c:auto val="1"/>
        <c:lblAlgn val="ctr"/>
        <c:lblOffset val="100"/>
        <c:noMultiLvlLbl val="0"/>
      </c:catAx>
      <c:valAx>
        <c:axId val="1148079280"/>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de-DE"/>
                  <a:t>Industrial Water Demand [m3/year]</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crossAx val="114808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200">
          <a:solidFill>
            <a:sysClr val="windowText" lastClr="000000"/>
          </a:solidFil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de-DE" b="1"/>
              <a:t>Figure 3: Hyphen Total Water Demand With</a:t>
            </a:r>
            <a:r>
              <a:rPr lang="de-DE" b="1" baseline="0"/>
              <a:t> and Without Family Relocation Compared to Planned Desalination Capacity</a:t>
            </a:r>
            <a:endParaRPr lang="de-DE" b="1"/>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3"/>
          <c:order val="2"/>
          <c:tx>
            <c:strRef>
              <c:f>'7. Lüderitz Scenarios'!$E$64</c:f>
              <c:strCache>
                <c:ptCount val="1"/>
                <c:pt idx="0">
                  <c:v>Scenario 3a - Hyphen Demand Only</c:v>
                </c:pt>
              </c:strCache>
            </c:strRef>
          </c:tx>
          <c:spPr>
            <a:solidFill>
              <a:schemeClr val="accent4"/>
            </a:solidFill>
            <a:ln>
              <a:noFill/>
            </a:ln>
            <a:effectLst/>
          </c:spPr>
          <c:invertIfNegative val="0"/>
          <c:val>
            <c:numRef>
              <c:f>'7. Lüderitz Scenarios'!$E$65:$E$88</c:f>
              <c:numCache>
                <c:formatCode>#,##0</c:formatCode>
                <c:ptCount val="24"/>
                <c:pt idx="0">
                  <c:v>2171750</c:v>
                </c:pt>
                <c:pt idx="1">
                  <c:v>2171750</c:v>
                </c:pt>
                <c:pt idx="2">
                  <c:v>2171750</c:v>
                </c:pt>
                <c:pt idx="3">
                  <c:v>2171750</c:v>
                </c:pt>
                <c:pt idx="4">
                  <c:v>11296750</c:v>
                </c:pt>
                <c:pt idx="5">
                  <c:v>11296750</c:v>
                </c:pt>
                <c:pt idx="6">
                  <c:v>11296750</c:v>
                </c:pt>
                <c:pt idx="7">
                  <c:v>18392350</c:v>
                </c:pt>
                <c:pt idx="8">
                  <c:v>18392350</c:v>
                </c:pt>
                <c:pt idx="9">
                  <c:v>18392350</c:v>
                </c:pt>
                <c:pt idx="10">
                  <c:v>18392350</c:v>
                </c:pt>
                <c:pt idx="11">
                  <c:v>18392350</c:v>
                </c:pt>
                <c:pt idx="12">
                  <c:v>18392350</c:v>
                </c:pt>
                <c:pt idx="13">
                  <c:v>18392350</c:v>
                </c:pt>
                <c:pt idx="14">
                  <c:v>18392350</c:v>
                </c:pt>
                <c:pt idx="15">
                  <c:v>18392350</c:v>
                </c:pt>
                <c:pt idx="16">
                  <c:v>18392350</c:v>
                </c:pt>
                <c:pt idx="17">
                  <c:v>18392350</c:v>
                </c:pt>
                <c:pt idx="18">
                  <c:v>18392350</c:v>
                </c:pt>
                <c:pt idx="19">
                  <c:v>18392350</c:v>
                </c:pt>
                <c:pt idx="20">
                  <c:v>18392350</c:v>
                </c:pt>
                <c:pt idx="21">
                  <c:v>18392350</c:v>
                </c:pt>
                <c:pt idx="22">
                  <c:v>18392350</c:v>
                </c:pt>
                <c:pt idx="23">
                  <c:v>18392350</c:v>
                </c:pt>
              </c:numCache>
            </c:numRef>
          </c:val>
          <c:extLst>
            <c:ext xmlns:c16="http://schemas.microsoft.com/office/drawing/2014/chart" uri="{C3380CC4-5D6E-409C-BE32-E72D297353CC}">
              <c16:uniqueId val="{00000000-30A8-4773-B8C5-37844519C6E9}"/>
            </c:ext>
          </c:extLst>
        </c:ser>
        <c:ser>
          <c:idx val="4"/>
          <c:order val="3"/>
          <c:tx>
            <c:strRef>
              <c:f>'7. Lüderitz Scenarios'!$F$64</c:f>
              <c:strCache>
                <c:ptCount val="1"/>
                <c:pt idx="0">
                  <c:v>Scenario 3b - Hyphen Demand Only</c:v>
                </c:pt>
              </c:strCache>
            </c:strRef>
          </c:tx>
          <c:spPr>
            <a:solidFill>
              <a:schemeClr val="accent5"/>
            </a:solidFill>
            <a:ln>
              <a:noFill/>
            </a:ln>
            <a:effectLst/>
          </c:spPr>
          <c:invertIfNegative val="0"/>
          <c:val>
            <c:numRef>
              <c:f>'7. Lüderitz Scenarios'!$F$65:$F$88</c:f>
              <c:numCache>
                <c:formatCode>#,##0</c:formatCode>
                <c:ptCount val="24"/>
                <c:pt idx="0">
                  <c:v>3082790.0000000005</c:v>
                </c:pt>
                <c:pt idx="1">
                  <c:v>3116868.59</c:v>
                </c:pt>
                <c:pt idx="2">
                  <c:v>3151662.8303900003</c:v>
                </c:pt>
                <c:pt idx="3">
                  <c:v>3187187.7498281901</c:v>
                </c:pt>
                <c:pt idx="4">
                  <c:v>12348458.692574581</c:v>
                </c:pt>
                <c:pt idx="5">
                  <c:v>12385491.325118646</c:v>
                </c:pt>
                <c:pt idx="6">
                  <c:v>12423301.642946139</c:v>
                </c:pt>
                <c:pt idx="7">
                  <c:v>20451463.977448009</c:v>
                </c:pt>
                <c:pt idx="8">
                  <c:v>20497694.720974419</c:v>
                </c:pt>
                <c:pt idx="9">
                  <c:v>20544896.310114879</c:v>
                </c:pt>
                <c:pt idx="10">
                  <c:v>20593089.132627293</c:v>
                </c:pt>
                <c:pt idx="11">
                  <c:v>20642294.004412465</c:v>
                </c:pt>
                <c:pt idx="12">
                  <c:v>20692532.178505126</c:v>
                </c:pt>
                <c:pt idx="13">
                  <c:v>20743825.354253735</c:v>
                </c:pt>
                <c:pt idx="14">
                  <c:v>20796195.686693061</c:v>
                </c:pt>
                <c:pt idx="15">
                  <c:v>20849665.796113618</c:v>
                </c:pt>
                <c:pt idx="16">
                  <c:v>20904258.777832001</c:v>
                </c:pt>
                <c:pt idx="17">
                  <c:v>20959998.212166477</c:v>
                </c:pt>
                <c:pt idx="18">
                  <c:v>21016908.174621973</c:v>
                </c:pt>
                <c:pt idx="19">
                  <c:v>21075013.246289033</c:v>
                </c:pt>
                <c:pt idx="20">
                  <c:v>21134338.524461105</c:v>
                </c:pt>
                <c:pt idx="21">
                  <c:v>21194909.63347479</c:v>
                </c:pt>
                <c:pt idx="22">
                  <c:v>21256752.735777758</c:v>
                </c:pt>
                <c:pt idx="23">
                  <c:v>21319894.543229092</c:v>
                </c:pt>
              </c:numCache>
            </c:numRef>
          </c:val>
          <c:extLst>
            <c:ext xmlns:c16="http://schemas.microsoft.com/office/drawing/2014/chart" uri="{C3380CC4-5D6E-409C-BE32-E72D297353CC}">
              <c16:uniqueId val="{00000001-30A8-4773-B8C5-37844519C6E9}"/>
            </c:ext>
          </c:extLst>
        </c:ser>
        <c:dLbls>
          <c:showLegendKey val="0"/>
          <c:showVal val="0"/>
          <c:showCatName val="0"/>
          <c:showSerName val="0"/>
          <c:showPercent val="0"/>
          <c:showBubbleSize val="0"/>
        </c:dLbls>
        <c:gapWidth val="150"/>
        <c:axId val="1605896928"/>
        <c:axId val="1605895488"/>
      </c:barChart>
      <c:lineChart>
        <c:grouping val="standard"/>
        <c:varyColors val="0"/>
        <c:ser>
          <c:idx val="1"/>
          <c:order val="0"/>
          <c:tx>
            <c:strRef>
              <c:f>'7. Lüderitz Scenarios'!$C$64</c:f>
              <c:strCache>
                <c:ptCount val="1"/>
                <c:pt idx="0">
                  <c:v>Hyphen desalination capacity (low)</c:v>
                </c:pt>
              </c:strCache>
            </c:strRef>
          </c:tx>
          <c:spPr>
            <a:ln w="28575" cap="rnd">
              <a:solidFill>
                <a:schemeClr val="accent2"/>
              </a:solidFill>
              <a:round/>
            </a:ln>
            <a:effectLst/>
          </c:spPr>
          <c:marker>
            <c:symbol val="none"/>
          </c:marker>
          <c:cat>
            <c:numRef>
              <c:f>'7. Lüderitz Scenarios'!$B$65:$B$88</c:f>
              <c:numCache>
                <c:formatCode>General</c:formatCode>
                <c:ptCount val="24"/>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numCache>
            </c:numRef>
          </c:cat>
          <c:val>
            <c:numRef>
              <c:f>'7. Lüderitz Scenarios'!$C$65:$C$88</c:f>
              <c:numCache>
                <c:formatCode>#,##0</c:formatCode>
                <c:ptCount val="24"/>
                <c:pt idx="0">
                  <c:v>1825000</c:v>
                </c:pt>
                <c:pt idx="1">
                  <c:v>1825000</c:v>
                </c:pt>
                <c:pt idx="2">
                  <c:v>1825000</c:v>
                </c:pt>
                <c:pt idx="3">
                  <c:v>1825000</c:v>
                </c:pt>
                <c:pt idx="4">
                  <c:v>10400000</c:v>
                </c:pt>
                <c:pt idx="5">
                  <c:v>10400000</c:v>
                </c:pt>
                <c:pt idx="6">
                  <c:v>10400000</c:v>
                </c:pt>
                <c:pt idx="7">
                  <c:v>10400000</c:v>
                </c:pt>
                <c:pt idx="8">
                  <c:v>10400000</c:v>
                </c:pt>
                <c:pt idx="9">
                  <c:v>10400000</c:v>
                </c:pt>
                <c:pt idx="10">
                  <c:v>10400000</c:v>
                </c:pt>
                <c:pt idx="11">
                  <c:v>10400000</c:v>
                </c:pt>
                <c:pt idx="12">
                  <c:v>10400000</c:v>
                </c:pt>
                <c:pt idx="13">
                  <c:v>10400000</c:v>
                </c:pt>
                <c:pt idx="14">
                  <c:v>10400000</c:v>
                </c:pt>
                <c:pt idx="15">
                  <c:v>10400000</c:v>
                </c:pt>
                <c:pt idx="16">
                  <c:v>10400000</c:v>
                </c:pt>
                <c:pt idx="17">
                  <c:v>10400000</c:v>
                </c:pt>
                <c:pt idx="18">
                  <c:v>10400000</c:v>
                </c:pt>
                <c:pt idx="19">
                  <c:v>10400000</c:v>
                </c:pt>
                <c:pt idx="20">
                  <c:v>10400000</c:v>
                </c:pt>
                <c:pt idx="21">
                  <c:v>10400000</c:v>
                </c:pt>
                <c:pt idx="22">
                  <c:v>10400000</c:v>
                </c:pt>
                <c:pt idx="23">
                  <c:v>10400000</c:v>
                </c:pt>
              </c:numCache>
            </c:numRef>
          </c:val>
          <c:smooth val="0"/>
          <c:extLst>
            <c:ext xmlns:c16="http://schemas.microsoft.com/office/drawing/2014/chart" uri="{C3380CC4-5D6E-409C-BE32-E72D297353CC}">
              <c16:uniqueId val="{00000002-30A8-4773-B8C5-37844519C6E9}"/>
            </c:ext>
          </c:extLst>
        </c:ser>
        <c:ser>
          <c:idx val="2"/>
          <c:order val="1"/>
          <c:tx>
            <c:strRef>
              <c:f>'7. Lüderitz Scenarios'!$D$64</c:f>
              <c:strCache>
                <c:ptCount val="1"/>
                <c:pt idx="0">
                  <c:v>Hyphen desalination capacity (high)</c:v>
                </c:pt>
              </c:strCache>
            </c:strRef>
          </c:tx>
          <c:spPr>
            <a:ln w="28575" cap="rnd">
              <a:solidFill>
                <a:schemeClr val="accent3"/>
              </a:solidFill>
              <a:round/>
            </a:ln>
            <a:effectLst/>
          </c:spPr>
          <c:marker>
            <c:symbol val="none"/>
          </c:marker>
          <c:cat>
            <c:numRef>
              <c:f>'7. Lüderitz Scenarios'!$B$65:$B$88</c:f>
              <c:numCache>
                <c:formatCode>General</c:formatCode>
                <c:ptCount val="24"/>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numCache>
            </c:numRef>
          </c:cat>
          <c:val>
            <c:numRef>
              <c:f>'7. Lüderitz Scenarios'!$D$65:$D$88</c:f>
              <c:numCache>
                <c:formatCode>#,##0</c:formatCode>
                <c:ptCount val="24"/>
                <c:pt idx="0">
                  <c:v>2920000</c:v>
                </c:pt>
                <c:pt idx="1">
                  <c:v>2920000</c:v>
                </c:pt>
                <c:pt idx="2">
                  <c:v>2920000</c:v>
                </c:pt>
                <c:pt idx="3">
                  <c:v>2920000</c:v>
                </c:pt>
                <c:pt idx="4">
                  <c:v>18250000</c:v>
                </c:pt>
                <c:pt idx="5">
                  <c:v>18250000</c:v>
                </c:pt>
                <c:pt idx="6">
                  <c:v>18250000</c:v>
                </c:pt>
                <c:pt idx="7">
                  <c:v>18250000</c:v>
                </c:pt>
                <c:pt idx="8">
                  <c:v>18250000</c:v>
                </c:pt>
                <c:pt idx="9">
                  <c:v>18250000</c:v>
                </c:pt>
                <c:pt idx="10">
                  <c:v>18250000</c:v>
                </c:pt>
                <c:pt idx="11">
                  <c:v>18250000</c:v>
                </c:pt>
                <c:pt idx="12">
                  <c:v>18250000</c:v>
                </c:pt>
                <c:pt idx="13">
                  <c:v>18250000</c:v>
                </c:pt>
                <c:pt idx="14">
                  <c:v>18250000</c:v>
                </c:pt>
                <c:pt idx="15">
                  <c:v>18250000</c:v>
                </c:pt>
                <c:pt idx="16">
                  <c:v>18250000</c:v>
                </c:pt>
                <c:pt idx="17">
                  <c:v>18250000</c:v>
                </c:pt>
                <c:pt idx="18">
                  <c:v>18250000</c:v>
                </c:pt>
                <c:pt idx="19">
                  <c:v>18250000</c:v>
                </c:pt>
                <c:pt idx="20">
                  <c:v>18250000</c:v>
                </c:pt>
                <c:pt idx="21">
                  <c:v>18250000</c:v>
                </c:pt>
                <c:pt idx="22">
                  <c:v>18250000</c:v>
                </c:pt>
                <c:pt idx="23">
                  <c:v>18250000</c:v>
                </c:pt>
              </c:numCache>
            </c:numRef>
          </c:val>
          <c:smooth val="0"/>
          <c:extLst>
            <c:ext xmlns:c16="http://schemas.microsoft.com/office/drawing/2014/chart" uri="{C3380CC4-5D6E-409C-BE32-E72D297353CC}">
              <c16:uniqueId val="{00000003-30A8-4773-B8C5-37844519C6E9}"/>
            </c:ext>
          </c:extLst>
        </c:ser>
        <c:dLbls>
          <c:showLegendKey val="0"/>
          <c:showVal val="0"/>
          <c:showCatName val="0"/>
          <c:showSerName val="0"/>
          <c:showPercent val="0"/>
          <c:showBubbleSize val="0"/>
        </c:dLbls>
        <c:marker val="1"/>
        <c:smooth val="0"/>
        <c:axId val="1605896928"/>
        <c:axId val="1605895488"/>
      </c:lineChart>
      <c:catAx>
        <c:axId val="16058969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605895488"/>
        <c:crosses val="autoZero"/>
        <c:auto val="1"/>
        <c:lblAlgn val="ctr"/>
        <c:lblOffset val="100"/>
        <c:noMultiLvlLbl val="0"/>
      </c:catAx>
      <c:valAx>
        <c:axId val="1605895488"/>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Water Demand [m</a:t>
                </a:r>
                <a:r>
                  <a:rPr lang="en-US" baseline="30000"/>
                  <a:t>3</a:t>
                </a:r>
                <a:r>
                  <a:rPr lang="en-US"/>
                  <a:t>/year]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605896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a:scene3d>
      <a:camera prst="orthographicFront"/>
      <a:lightRig rig="threePt" dir="t"/>
    </a:scene3d>
    <a:sp3d prstMaterial="matte">
      <a:bevelT w="63500" h="63500" prst="artDeco"/>
      <a:contourClr>
        <a:srgbClr val="000000"/>
      </a:contourClr>
    </a:sp3d>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en-US" b="1"/>
              <a:t>Figure 1: Total Water Demand (Domestic + Industrial) of Each Scenario</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2"/>
          <c:order val="1"/>
          <c:tx>
            <c:strRef>
              <c:f>'7. Lüderitz Scenarios'!$D$33</c:f>
              <c:strCache>
                <c:ptCount val="1"/>
                <c:pt idx="0">
                  <c:v>Scenario 1</c:v>
                </c:pt>
              </c:strCache>
            </c:strRef>
          </c:tx>
          <c:spPr>
            <a:solidFill>
              <a:schemeClr val="accent3"/>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Scenarios'!$D$34:$D$59</c:f>
              <c:numCache>
                <c:formatCode>#,##0</c:formatCode>
                <c:ptCount val="26"/>
                <c:pt idx="0">
                  <c:v>1216618</c:v>
                </c:pt>
                <c:pt idx="1">
                  <c:v>1704571.7128571428</c:v>
                </c:pt>
                <c:pt idx="2">
                  <c:v>1759312.4338271427</c:v>
                </c:pt>
                <c:pt idx="3">
                  <c:v>1803302.2499375129</c:v>
                </c:pt>
                <c:pt idx="4">
                  <c:v>1826578.6521862005</c:v>
                </c:pt>
                <c:pt idx="5">
                  <c:v>1883858.1588821108</c:v>
                </c:pt>
                <c:pt idx="6">
                  <c:v>2363373.0930757779</c:v>
                </c:pt>
                <c:pt idx="7">
                  <c:v>2392170.5780303692</c:v>
                </c:pt>
                <c:pt idx="8">
                  <c:v>2421572.8101690067</c:v>
                </c:pt>
                <c:pt idx="9">
                  <c:v>2906729.5520396992</c:v>
                </c:pt>
                <c:pt idx="10">
                  <c:v>2941287.3226325326</c:v>
                </c:pt>
                <c:pt idx="11">
                  <c:v>2976570.8064078158</c:v>
                </c:pt>
                <c:pt idx="12">
                  <c:v>3012595.24334238</c:v>
                </c:pt>
                <c:pt idx="13">
                  <c:v>3049376.1934525706</c:v>
                </c:pt>
                <c:pt idx="14">
                  <c:v>3086929.5435150745</c:v>
                </c:pt>
                <c:pt idx="15">
                  <c:v>3125271.5139288912</c:v>
                </c:pt>
                <c:pt idx="16">
                  <c:v>3164418.6657213978</c:v>
                </c:pt>
                <c:pt idx="17">
                  <c:v>3204387.9077015473</c:v>
                </c:pt>
                <c:pt idx="18">
                  <c:v>3245196.5037632799</c:v>
                </c:pt>
                <c:pt idx="19">
                  <c:v>3286862.0803423086</c:v>
                </c:pt>
                <c:pt idx="20">
                  <c:v>3329402.6340294969</c:v>
                </c:pt>
                <c:pt idx="21">
                  <c:v>3372836.5393441161</c:v>
                </c:pt>
                <c:pt idx="22">
                  <c:v>3417182.5566703426</c:v>
                </c:pt>
                <c:pt idx="23">
                  <c:v>3462459.8403604198</c:v>
                </c:pt>
                <c:pt idx="24">
                  <c:v>3508687.9470079886</c:v>
                </c:pt>
                <c:pt idx="25">
                  <c:v>3555886.8438951564</c:v>
                </c:pt>
              </c:numCache>
            </c:numRef>
          </c:val>
          <c:extLst>
            <c:ext xmlns:c16="http://schemas.microsoft.com/office/drawing/2014/chart" uri="{C3380CC4-5D6E-409C-BE32-E72D297353CC}">
              <c16:uniqueId val="{00000002-A486-433B-93F4-B12E43049EB0}"/>
            </c:ext>
          </c:extLst>
        </c:ser>
        <c:ser>
          <c:idx val="3"/>
          <c:order val="2"/>
          <c:tx>
            <c:strRef>
              <c:f>'7. Lüderitz Scenarios'!$E$33</c:f>
              <c:strCache>
                <c:ptCount val="1"/>
                <c:pt idx="0">
                  <c:v>Scenario 2</c:v>
                </c:pt>
              </c:strCache>
            </c:strRef>
          </c:tx>
          <c:spPr>
            <a:solidFill>
              <a:schemeClr val="accent4"/>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Scenarios'!$E$34:$E$59</c:f>
              <c:numCache>
                <c:formatCode>#,##0</c:formatCode>
                <c:ptCount val="26"/>
                <c:pt idx="0">
                  <c:v>1216618</c:v>
                </c:pt>
                <c:pt idx="1">
                  <c:v>1704571.7128571428</c:v>
                </c:pt>
                <c:pt idx="2">
                  <c:v>1759312.4338271427</c:v>
                </c:pt>
                <c:pt idx="3">
                  <c:v>1803302.2499375129</c:v>
                </c:pt>
                <c:pt idx="4">
                  <c:v>1826578.6521862005</c:v>
                </c:pt>
                <c:pt idx="5">
                  <c:v>2641160.1588821108</c:v>
                </c:pt>
                <c:pt idx="6">
                  <c:v>3136578.4350757776</c:v>
                </c:pt>
                <c:pt idx="7">
                  <c:v>3181613.2322123693</c:v>
                </c:pt>
                <c:pt idx="8">
                  <c:v>3227593.7600888284</c:v>
                </c:pt>
                <c:pt idx="9">
                  <c:v>3729676.9419078371</c:v>
                </c:pt>
                <c:pt idx="10">
                  <c:v>3781516.6076879017</c:v>
                </c:pt>
                <c:pt idx="11">
                  <c:v>3834444.9064493477</c:v>
                </c:pt>
                <c:pt idx="12">
                  <c:v>3888484.6994847837</c:v>
                </c:pt>
                <c:pt idx="13">
                  <c:v>3943659.3281739643</c:v>
                </c:pt>
                <c:pt idx="14">
                  <c:v>3999992.6240656176</c:v>
                </c:pt>
                <c:pt idx="15">
                  <c:v>4057508.9191709957</c:v>
                </c:pt>
                <c:pt idx="16">
                  <c:v>4116233.0564735867</c:v>
                </c:pt>
                <c:pt idx="17">
                  <c:v>4176190.4006595318</c:v>
                </c:pt>
                <c:pt idx="18">
                  <c:v>4237406.8490733821</c:v>
                </c:pt>
                <c:pt idx="19">
                  <c:v>4299908.8429039232</c:v>
                </c:pt>
                <c:pt idx="20">
                  <c:v>4363723.3786049057</c:v>
                </c:pt>
                <c:pt idx="21">
                  <c:v>4428878.0195556087</c:v>
                </c:pt>
                <c:pt idx="22">
                  <c:v>4495400.9079662766</c:v>
                </c:pt>
                <c:pt idx="23">
                  <c:v>4563320.7770335674</c:v>
                </c:pt>
                <c:pt idx="24">
                  <c:v>4632666.9633512739</c:v>
                </c:pt>
                <c:pt idx="25">
                  <c:v>4703469.4195816498</c:v>
                </c:pt>
              </c:numCache>
            </c:numRef>
          </c:val>
          <c:extLst>
            <c:ext xmlns:c16="http://schemas.microsoft.com/office/drawing/2014/chart" uri="{C3380CC4-5D6E-409C-BE32-E72D297353CC}">
              <c16:uniqueId val="{00000003-A486-433B-93F4-B12E43049EB0}"/>
            </c:ext>
          </c:extLst>
        </c:ser>
        <c:ser>
          <c:idx val="4"/>
          <c:order val="3"/>
          <c:tx>
            <c:strRef>
              <c:f>'7. Lüderitz Scenarios'!$F$33</c:f>
              <c:strCache>
                <c:ptCount val="1"/>
                <c:pt idx="0">
                  <c:v>Scenario 3a</c:v>
                </c:pt>
              </c:strCache>
            </c:strRef>
          </c:tx>
          <c:spPr>
            <a:solidFill>
              <a:schemeClr val="accent5"/>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Scenarios'!$F$34:$F$59</c:f>
              <c:numCache>
                <c:formatCode>#,##0</c:formatCode>
                <c:ptCount val="26"/>
                <c:pt idx="0">
                  <c:v>1216618</c:v>
                </c:pt>
                <c:pt idx="1">
                  <c:v>1704571.7128571428</c:v>
                </c:pt>
                <c:pt idx="2">
                  <c:v>3931062.4338271427</c:v>
                </c:pt>
                <c:pt idx="3">
                  <c:v>3989998.9999375129</c:v>
                </c:pt>
                <c:pt idx="4">
                  <c:v>4028536.0339362007</c:v>
                </c:pt>
                <c:pt idx="5">
                  <c:v>4101396.6456488613</c:v>
                </c:pt>
                <c:pt idx="6">
                  <c:v>13721819.88806463</c:v>
                </c:pt>
                <c:pt idx="7">
                  <c:v>13766859.755713986</c:v>
                </c:pt>
                <c:pt idx="8">
                  <c:v>13812845.460583981</c:v>
                </c:pt>
                <c:pt idx="9">
                  <c:v>21410533.928113386</c:v>
                </c:pt>
                <c:pt idx="10">
                  <c:v>21450421.590603769</c:v>
                </c:pt>
                <c:pt idx="11">
                  <c:v>21491146.89400645</c:v>
                </c:pt>
                <c:pt idx="12">
                  <c:v>21532727.428780586</c:v>
                </c:pt>
                <c:pt idx="13">
                  <c:v>21575181.154784977</c:v>
                </c:pt>
                <c:pt idx="14">
                  <c:v>21618526.409035459</c:v>
                </c:pt>
                <c:pt idx="15">
                  <c:v>21662781.913625207</c:v>
                </c:pt>
                <c:pt idx="16">
                  <c:v>21707966.783811335</c:v>
                </c:pt>
                <c:pt idx="17">
                  <c:v>21754100.536271371</c:v>
                </c:pt>
                <c:pt idx="18">
                  <c:v>21801203.09753307</c:v>
                </c:pt>
                <c:pt idx="19">
                  <c:v>21849294.812581267</c:v>
                </c:pt>
                <c:pt idx="20">
                  <c:v>21898396.453645471</c:v>
                </c:pt>
                <c:pt idx="21">
                  <c:v>21948529.229172029</c:v>
                </c:pt>
                <c:pt idx="22">
                  <c:v>21999714.792984642</c:v>
                </c:pt>
                <c:pt idx="23">
                  <c:v>22051975.253637318</c:v>
                </c:pt>
                <c:pt idx="24">
                  <c:v>22105333.183963701</c:v>
                </c:pt>
                <c:pt idx="25">
                  <c:v>22159811.630826939</c:v>
                </c:pt>
              </c:numCache>
            </c:numRef>
          </c:val>
          <c:extLst>
            <c:ext xmlns:c16="http://schemas.microsoft.com/office/drawing/2014/chart" uri="{C3380CC4-5D6E-409C-BE32-E72D297353CC}">
              <c16:uniqueId val="{00000004-A486-433B-93F4-B12E43049EB0}"/>
            </c:ext>
          </c:extLst>
        </c:ser>
        <c:ser>
          <c:idx val="5"/>
          <c:order val="4"/>
          <c:tx>
            <c:strRef>
              <c:f>'7. Lüderitz Scenarios'!$G$33</c:f>
              <c:strCache>
                <c:ptCount val="1"/>
                <c:pt idx="0">
                  <c:v>Scenario 3b</c:v>
                </c:pt>
              </c:strCache>
            </c:strRef>
          </c:tx>
          <c:spPr>
            <a:solidFill>
              <a:schemeClr val="accent6"/>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Scenarios'!$G$34:$G$59</c:f>
              <c:numCache>
                <c:formatCode>#,##0</c:formatCode>
                <c:ptCount val="26"/>
                <c:pt idx="0">
                  <c:v>1216618</c:v>
                </c:pt>
                <c:pt idx="1">
                  <c:v>1704571.7128571428</c:v>
                </c:pt>
                <c:pt idx="2">
                  <c:v>4842102.4338271432</c:v>
                </c:pt>
                <c:pt idx="3">
                  <c:v>4920170.8399375128</c:v>
                </c:pt>
                <c:pt idx="4">
                  <c:v>4978241.4825762007</c:v>
                </c:pt>
                <c:pt idx="5">
                  <c:v>5071045.9087103009</c:v>
                </c:pt>
                <c:pt idx="6">
                  <c:v>14711831.785650359</c:v>
                </c:pt>
                <c:pt idx="7">
                  <c:v>14777661.903149016</c:v>
                </c:pt>
                <c:pt idx="8">
                  <c:v>14844874.453115147</c:v>
                </c:pt>
                <c:pt idx="9">
                  <c:v>23358193.529487707</c:v>
                </c:pt>
                <c:pt idx="10">
                  <c:v>23438982.043606952</c:v>
                </c:pt>
                <c:pt idx="11">
                  <c:v>23521467.116522696</c:v>
                </c:pt>
                <c:pt idx="12">
                  <c:v>23605684.375969674</c:v>
                </c:pt>
                <c:pt idx="13">
                  <c:v>23691670.197865035</c:v>
                </c:pt>
                <c:pt idx="14">
                  <c:v>23779461.722020201</c:v>
                </c:pt>
                <c:pt idx="15">
                  <c:v>23869096.868182626</c:v>
                </c:pt>
                <c:pt idx="16">
                  <c:v>23960614.352414459</c:v>
                </c:pt>
                <c:pt idx="17">
                  <c:v>24054053.703815166</c:v>
                </c:pt>
                <c:pt idx="18">
                  <c:v>24149455.281595282</c:v>
                </c:pt>
                <c:pt idx="19">
                  <c:v>24246860.292508785</c:v>
                </c:pt>
                <c:pt idx="20">
                  <c:v>24346310.80865147</c:v>
                </c:pt>
                <c:pt idx="21">
                  <c:v>24447849.78563315</c:v>
                </c:pt>
                <c:pt idx="22">
                  <c:v>24551521.081131447</c:v>
                </c:pt>
                <c:pt idx="23">
                  <c:v>24657369.473835208</c:v>
                </c:pt>
                <c:pt idx="24">
                  <c:v>24765440.682785746</c:v>
                </c:pt>
                <c:pt idx="25">
                  <c:v>24875781.387124248</c:v>
                </c:pt>
              </c:numCache>
            </c:numRef>
          </c:val>
          <c:extLst>
            <c:ext xmlns:c16="http://schemas.microsoft.com/office/drawing/2014/chart" uri="{C3380CC4-5D6E-409C-BE32-E72D297353CC}">
              <c16:uniqueId val="{00000005-A486-433B-93F4-B12E43049EB0}"/>
            </c:ext>
          </c:extLst>
        </c:ser>
        <c:ser>
          <c:idx val="6"/>
          <c:order val="5"/>
          <c:tx>
            <c:strRef>
              <c:f>'7. Lüderitz Scenarios'!$H$33</c:f>
              <c:strCache>
                <c:ptCount val="1"/>
                <c:pt idx="0">
                  <c:v>Scenario 4a</c:v>
                </c:pt>
              </c:strCache>
            </c:strRef>
          </c:tx>
          <c:spPr>
            <a:solidFill>
              <a:schemeClr val="accent1">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Scenarios'!$H$34:$H$59</c:f>
              <c:numCache>
                <c:formatCode>#,##0</c:formatCode>
                <c:ptCount val="26"/>
                <c:pt idx="0">
                  <c:v>1216618</c:v>
                </c:pt>
                <c:pt idx="1">
                  <c:v>1704571.7128571428</c:v>
                </c:pt>
                <c:pt idx="2">
                  <c:v>3931062.4338271427</c:v>
                </c:pt>
                <c:pt idx="3">
                  <c:v>3989998.9999375129</c:v>
                </c:pt>
                <c:pt idx="4">
                  <c:v>4028536.0339362007</c:v>
                </c:pt>
                <c:pt idx="5">
                  <c:v>4858698.6456488613</c:v>
                </c:pt>
                <c:pt idx="6">
                  <c:v>14495025.230064631</c:v>
                </c:pt>
                <c:pt idx="7">
                  <c:v>14556302.409895986</c:v>
                </c:pt>
                <c:pt idx="8">
                  <c:v>14618866.410503803</c:v>
                </c:pt>
                <c:pt idx="9">
                  <c:v>22233481.317981526</c:v>
                </c:pt>
                <c:pt idx="10">
                  <c:v>22290650.875659138</c:v>
                </c:pt>
                <c:pt idx="11">
                  <c:v>22349020.994047981</c:v>
                </c:pt>
                <c:pt idx="12">
                  <c:v>22408616.884922989</c:v>
                </c:pt>
                <c:pt idx="13">
                  <c:v>22469464.289506372</c:v>
                </c:pt>
                <c:pt idx="14">
                  <c:v>22531589.489586007</c:v>
                </c:pt>
                <c:pt idx="15">
                  <c:v>22595019.318867311</c:v>
                </c:pt>
                <c:pt idx="16">
                  <c:v>22659781.174563527</c:v>
                </c:pt>
                <c:pt idx="17">
                  <c:v>22725903.029229358</c:v>
                </c:pt>
                <c:pt idx="18">
                  <c:v>22793413.442843176</c:v>
                </c:pt>
                <c:pt idx="19">
                  <c:v>22862341.575142883</c:v>
                </c:pt>
                <c:pt idx="20">
                  <c:v>22932717.198220883</c:v>
                </c:pt>
                <c:pt idx="21">
                  <c:v>23004570.709383521</c:v>
                </c:pt>
                <c:pt idx="22">
                  <c:v>23077933.144280575</c:v>
                </c:pt>
                <c:pt idx="23">
                  <c:v>23152836.190310467</c:v>
                </c:pt>
                <c:pt idx="24">
                  <c:v>23229312.200306989</c:v>
                </c:pt>
                <c:pt idx="25">
                  <c:v>23307394.206513435</c:v>
                </c:pt>
              </c:numCache>
            </c:numRef>
          </c:val>
          <c:extLst>
            <c:ext xmlns:c16="http://schemas.microsoft.com/office/drawing/2014/chart" uri="{C3380CC4-5D6E-409C-BE32-E72D297353CC}">
              <c16:uniqueId val="{00000006-A486-433B-93F4-B12E43049EB0}"/>
            </c:ext>
          </c:extLst>
        </c:ser>
        <c:ser>
          <c:idx val="7"/>
          <c:order val="6"/>
          <c:tx>
            <c:strRef>
              <c:f>'7. Lüderitz Scenarios'!$I$33</c:f>
              <c:strCache>
                <c:ptCount val="1"/>
                <c:pt idx="0">
                  <c:v>Scenario 4b</c:v>
                </c:pt>
              </c:strCache>
            </c:strRef>
          </c:tx>
          <c:spPr>
            <a:solidFill>
              <a:schemeClr val="accent2">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Scenarios'!$I$34:$I$59</c:f>
              <c:numCache>
                <c:formatCode>#,##0</c:formatCode>
                <c:ptCount val="26"/>
                <c:pt idx="0">
                  <c:v>1216618</c:v>
                </c:pt>
                <c:pt idx="1">
                  <c:v>1704571.7128571428</c:v>
                </c:pt>
                <c:pt idx="2">
                  <c:v>4842102.4338271432</c:v>
                </c:pt>
                <c:pt idx="3">
                  <c:v>4920170.8399375128</c:v>
                </c:pt>
                <c:pt idx="4">
                  <c:v>4978241.4825762007</c:v>
                </c:pt>
                <c:pt idx="5">
                  <c:v>5828347.9087103009</c:v>
                </c:pt>
                <c:pt idx="6">
                  <c:v>15485037.12765036</c:v>
                </c:pt>
                <c:pt idx="7">
                  <c:v>15567104.557331018</c:v>
                </c:pt>
                <c:pt idx="8">
                  <c:v>15650895.403034968</c:v>
                </c:pt>
                <c:pt idx="9">
                  <c:v>24181140.919355847</c:v>
                </c:pt>
                <c:pt idx="10">
                  <c:v>24279211.328662321</c:v>
                </c:pt>
                <c:pt idx="11">
                  <c:v>24379341.216564231</c:v>
                </c:pt>
                <c:pt idx="12">
                  <c:v>24481573.832112078</c:v>
                </c:pt>
                <c:pt idx="13">
                  <c:v>24585953.33258643</c:v>
                </c:pt>
                <c:pt idx="14">
                  <c:v>24692524.802570745</c:v>
                </c:pt>
                <c:pt idx="15">
                  <c:v>24801334.27342473</c:v>
                </c:pt>
                <c:pt idx="16">
                  <c:v>24912428.743166652</c:v>
                </c:pt>
                <c:pt idx="17">
                  <c:v>25025856.196773149</c:v>
                </c:pt>
                <c:pt idx="18">
                  <c:v>25141665.626905389</c:v>
                </c:pt>
                <c:pt idx="19">
                  <c:v>25259907.0550704</c:v>
                </c:pt>
                <c:pt idx="20">
                  <c:v>25380631.553226881</c:v>
                </c:pt>
                <c:pt idx="21">
                  <c:v>25503891.265844643</c:v>
                </c:pt>
                <c:pt idx="22">
                  <c:v>25629739.432427384</c:v>
                </c:pt>
                <c:pt idx="23">
                  <c:v>25758230.410508357</c:v>
                </c:pt>
                <c:pt idx="24">
                  <c:v>25889419.69912903</c:v>
                </c:pt>
                <c:pt idx="25">
                  <c:v>26023363.96281074</c:v>
                </c:pt>
              </c:numCache>
            </c:numRef>
          </c:val>
          <c:extLst>
            <c:ext xmlns:c16="http://schemas.microsoft.com/office/drawing/2014/chart" uri="{C3380CC4-5D6E-409C-BE32-E72D297353CC}">
              <c16:uniqueId val="{00000007-A486-433B-93F4-B12E43049EB0}"/>
            </c:ext>
          </c:extLst>
        </c:ser>
        <c:ser>
          <c:idx val="8"/>
          <c:order val="7"/>
          <c:tx>
            <c:strRef>
              <c:f>'7. Lüderitz Scenarios'!$J$33</c:f>
              <c:strCache>
                <c:ptCount val="1"/>
                <c:pt idx="0">
                  <c:v>Scenario 5a</c:v>
                </c:pt>
              </c:strCache>
            </c:strRef>
          </c:tx>
          <c:spPr>
            <a:solidFill>
              <a:srgbClr val="44B3E1"/>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Scenarios'!$J$34:$J$59</c:f>
              <c:numCache>
                <c:formatCode>#,##0</c:formatCode>
                <c:ptCount val="26"/>
                <c:pt idx="0">
                  <c:v>1216618</c:v>
                </c:pt>
                <c:pt idx="1">
                  <c:v>1704571.7128571428</c:v>
                </c:pt>
                <c:pt idx="2">
                  <c:v>4842102.4338271432</c:v>
                </c:pt>
                <c:pt idx="3">
                  <c:v>4920170.8399375128</c:v>
                </c:pt>
                <c:pt idx="4">
                  <c:v>4978241.4825762007</c:v>
                </c:pt>
                <c:pt idx="5">
                  <c:v>5828347.9087103009</c:v>
                </c:pt>
                <c:pt idx="6">
                  <c:v>15485037.12765036</c:v>
                </c:pt>
                <c:pt idx="7">
                  <c:v>15567104.557331018</c:v>
                </c:pt>
                <c:pt idx="8">
                  <c:v>15650895.403034968</c:v>
                </c:pt>
                <c:pt idx="9">
                  <c:v>24181140.919355847</c:v>
                </c:pt>
                <c:pt idx="10">
                  <c:v>25739211.328662321</c:v>
                </c:pt>
                <c:pt idx="11">
                  <c:v>25839341.216564231</c:v>
                </c:pt>
                <c:pt idx="12">
                  <c:v>25941573.832112078</c:v>
                </c:pt>
                <c:pt idx="13">
                  <c:v>26045953.33258643</c:v>
                </c:pt>
                <c:pt idx="14">
                  <c:v>35277524.802570745</c:v>
                </c:pt>
                <c:pt idx="15">
                  <c:v>35386334.27342473</c:v>
                </c:pt>
                <c:pt idx="16">
                  <c:v>35497428.743166655</c:v>
                </c:pt>
                <c:pt idx="17">
                  <c:v>43418206.196773157</c:v>
                </c:pt>
                <c:pt idx="18">
                  <c:v>43537004.976905391</c:v>
                </c:pt>
                <c:pt idx="19">
                  <c:v>43658298.531420402</c:v>
                </c:pt>
                <c:pt idx="20">
                  <c:v>43782139.250580236</c:v>
                </c:pt>
                <c:pt idx="21">
                  <c:v>43908580.62484242</c:v>
                </c:pt>
                <c:pt idx="22">
                  <c:v>44037677.26796411</c:v>
                </c:pt>
                <c:pt idx="23">
                  <c:v>44169484.94059135</c:v>
                </c:pt>
                <c:pt idx="24">
                  <c:v>44304060.574343771</c:v>
                </c:pt>
                <c:pt idx="25">
                  <c:v>44441462.296404988</c:v>
                </c:pt>
              </c:numCache>
            </c:numRef>
          </c:val>
          <c:extLst>
            <c:ext xmlns:c16="http://schemas.microsoft.com/office/drawing/2014/chart" uri="{C3380CC4-5D6E-409C-BE32-E72D297353CC}">
              <c16:uniqueId val="{00000008-A486-433B-93F4-B12E43049EB0}"/>
            </c:ext>
          </c:extLst>
        </c:ser>
        <c:ser>
          <c:idx val="9"/>
          <c:order val="8"/>
          <c:tx>
            <c:strRef>
              <c:f>'7. Lüderitz Scenarios'!$K$33</c:f>
              <c:strCache>
                <c:ptCount val="1"/>
                <c:pt idx="0">
                  <c:v>Scenario 5b</c:v>
                </c:pt>
              </c:strCache>
            </c:strRef>
          </c:tx>
          <c:spPr>
            <a:solidFill>
              <a:schemeClr val="accent4">
                <a:lumMod val="60000"/>
              </a:schemeClr>
            </a:solidFill>
            <a:ln>
              <a:noFill/>
            </a:ln>
            <a:effectLst/>
          </c:spPr>
          <c:invertIfNegative val="0"/>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Scenarios'!$K$34:$K$59</c:f>
              <c:numCache>
                <c:formatCode>#,##0</c:formatCode>
                <c:ptCount val="26"/>
                <c:pt idx="0">
                  <c:v>1216618</c:v>
                </c:pt>
                <c:pt idx="1">
                  <c:v>1704571.7128571428</c:v>
                </c:pt>
                <c:pt idx="2">
                  <c:v>4842102.4338271432</c:v>
                </c:pt>
                <c:pt idx="3">
                  <c:v>4920170.8399375128</c:v>
                </c:pt>
                <c:pt idx="4">
                  <c:v>4978241.4825762007</c:v>
                </c:pt>
                <c:pt idx="5">
                  <c:v>5828347.9087103009</c:v>
                </c:pt>
                <c:pt idx="6">
                  <c:v>15485037.12765036</c:v>
                </c:pt>
                <c:pt idx="7">
                  <c:v>15567104.557331018</c:v>
                </c:pt>
                <c:pt idx="8">
                  <c:v>15650895.403034968</c:v>
                </c:pt>
                <c:pt idx="9">
                  <c:v>24181140.919355847</c:v>
                </c:pt>
                <c:pt idx="10">
                  <c:v>25739211.328662321</c:v>
                </c:pt>
                <c:pt idx="11">
                  <c:v>25839341.216564231</c:v>
                </c:pt>
                <c:pt idx="12">
                  <c:v>25941573.832112078</c:v>
                </c:pt>
                <c:pt idx="13">
                  <c:v>26045953.33258643</c:v>
                </c:pt>
                <c:pt idx="14">
                  <c:v>35277524.802570745</c:v>
                </c:pt>
                <c:pt idx="15">
                  <c:v>35386334.27342473</c:v>
                </c:pt>
                <c:pt idx="16">
                  <c:v>35497428.743166655</c:v>
                </c:pt>
                <c:pt idx="17">
                  <c:v>43600414.196773157</c:v>
                </c:pt>
                <c:pt idx="18">
                  <c:v>43723039.344905391</c:v>
                </c:pt>
                <c:pt idx="19">
                  <c:v>43848239.621148407</c:v>
                </c:pt>
                <c:pt idx="20">
                  <c:v>43976069.103192523</c:v>
                </c:pt>
                <c:pt idx="21">
                  <c:v>44106583.004359566</c:v>
                </c:pt>
                <c:pt idx="22">
                  <c:v>44239837.697451115</c:v>
                </c:pt>
                <c:pt idx="23">
                  <c:v>44375890.739097588</c:v>
                </c:pt>
                <c:pt idx="24">
                  <c:v>44514800.894618638</c:v>
                </c:pt>
                <c:pt idx="25">
                  <c:v>44656628.163405627</c:v>
                </c:pt>
              </c:numCache>
            </c:numRef>
          </c:val>
          <c:extLst>
            <c:ext xmlns:c16="http://schemas.microsoft.com/office/drawing/2014/chart" uri="{C3380CC4-5D6E-409C-BE32-E72D297353CC}">
              <c16:uniqueId val="{00000009-A486-433B-93F4-B12E43049EB0}"/>
            </c:ext>
          </c:extLst>
        </c:ser>
        <c:dLbls>
          <c:showLegendKey val="0"/>
          <c:showVal val="0"/>
          <c:showCatName val="0"/>
          <c:showSerName val="0"/>
          <c:showPercent val="0"/>
          <c:showBubbleSize val="0"/>
        </c:dLbls>
        <c:gapWidth val="219"/>
        <c:axId val="1605801408"/>
        <c:axId val="1605801888"/>
      </c:barChart>
      <c:lineChart>
        <c:grouping val="standard"/>
        <c:varyColors val="0"/>
        <c:ser>
          <c:idx val="1"/>
          <c:order val="0"/>
          <c:tx>
            <c:strRef>
              <c:f>'7. Lüderitz Scenarios'!$C$33</c:f>
              <c:strCache>
                <c:ptCount val="1"/>
                <c:pt idx="0">
                  <c:v>2024 Demand Growth Rate</c:v>
                </c:pt>
              </c:strCache>
            </c:strRef>
          </c:tx>
          <c:spPr>
            <a:ln w="28575" cap="rnd">
              <a:solidFill>
                <a:schemeClr val="accent2"/>
              </a:solidFill>
              <a:round/>
            </a:ln>
            <a:effectLst/>
          </c:spPr>
          <c:marker>
            <c:symbol val="none"/>
          </c:marker>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Scenarios'!$C$34:$C$59</c:f>
              <c:numCache>
                <c:formatCode>#,##0</c:formatCode>
                <c:ptCount val="26"/>
                <c:pt idx="0">
                  <c:v>1179534</c:v>
                </c:pt>
                <c:pt idx="1">
                  <c:v>1215409.7039999999</c:v>
                </c:pt>
                <c:pt idx="2">
                  <c:v>1253921.5162559999</c:v>
                </c:pt>
                <c:pt idx="3">
                  <c:v>1295279.3896362239</c:v>
                </c:pt>
                <c:pt idx="4">
                  <c:v>1339710.0694951848</c:v>
                </c:pt>
                <c:pt idx="5">
                  <c:v>1387458.4370576148</c:v>
                </c:pt>
                <c:pt idx="6">
                  <c:v>1438788.9602730507</c:v>
                </c:pt>
                <c:pt idx="7">
                  <c:v>1493987.2607387244</c:v>
                </c:pt>
                <c:pt idx="8">
                  <c:v>1553361.8059762276</c:v>
                </c:pt>
                <c:pt idx="9">
                  <c:v>1617245.7370902444</c:v>
                </c:pt>
                <c:pt idx="10">
                  <c:v>1685998.8426399264</c:v>
                </c:pt>
                <c:pt idx="11">
                  <c:v>1760009.6904199128</c:v>
                </c:pt>
                <c:pt idx="12">
                  <c:v>1839697.9297837731</c:v>
                </c:pt>
                <c:pt idx="13">
                  <c:v>1925516.7781532635</c:v>
                </c:pt>
                <c:pt idx="14">
                  <c:v>2017955.7064482602</c:v>
                </c:pt>
                <c:pt idx="15">
                  <c:v>2117543.3393510277</c:v>
                </c:pt>
                <c:pt idx="16">
                  <c:v>2224850.5875915643</c:v>
                </c:pt>
                <c:pt idx="17">
                  <c:v>2340494.0308157131</c:v>
                </c:pt>
                <c:pt idx="18">
                  <c:v>2465139.5710826614</c:v>
                </c:pt>
                <c:pt idx="19">
                  <c:v>2599506.3786421726</c:v>
                </c:pt>
                <c:pt idx="20">
                  <c:v>2744371.1533739362</c:v>
                </c:pt>
                <c:pt idx="21">
                  <c:v>2900572.727142002</c:v>
                </c:pt>
                <c:pt idx="22">
                  <c:v>3069017.0343375062</c:v>
                </c:pt>
                <c:pt idx="23">
                  <c:v>3250682.4800647469</c:v>
                </c:pt>
                <c:pt idx="24">
                  <c:v>3446625.7377820881</c:v>
                </c:pt>
                <c:pt idx="25">
                  <c:v>3657988.0107540651</c:v>
                </c:pt>
              </c:numCache>
            </c:numRef>
          </c:val>
          <c:smooth val="0"/>
          <c:extLst>
            <c:ext xmlns:c16="http://schemas.microsoft.com/office/drawing/2014/chart" uri="{C3380CC4-5D6E-409C-BE32-E72D297353CC}">
              <c16:uniqueId val="{00000001-A486-433B-93F4-B12E43049EB0}"/>
            </c:ext>
          </c:extLst>
        </c:ser>
        <c:ser>
          <c:idx val="0"/>
          <c:order val="9"/>
          <c:tx>
            <c:v>Current total demand</c:v>
          </c:tx>
          <c:spPr>
            <a:ln w="28575" cap="rnd">
              <a:solidFill>
                <a:schemeClr val="accent1"/>
              </a:solidFill>
              <a:round/>
            </a:ln>
            <a:effectLst/>
          </c:spPr>
          <c:marker>
            <c:symbol val="none"/>
          </c:marker>
          <c:cat>
            <c:numRef>
              <c:f>'7. Lüderitz Scenarios'!$B$34:$B$59</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'7. Lüderitz Scenarios'!$W$34:$W$59</c:f>
              <c:numCache>
                <c:formatCode>#,##0</c:formatCode>
                <c:ptCount val="26"/>
                <c:pt idx="0">
                  <c:v>1146100</c:v>
                </c:pt>
                <c:pt idx="1">
                  <c:v>1146100</c:v>
                </c:pt>
                <c:pt idx="2">
                  <c:v>1146100</c:v>
                </c:pt>
                <c:pt idx="3">
                  <c:v>1146100</c:v>
                </c:pt>
                <c:pt idx="4">
                  <c:v>1146100</c:v>
                </c:pt>
                <c:pt idx="5">
                  <c:v>1146100</c:v>
                </c:pt>
                <c:pt idx="6">
                  <c:v>1146100</c:v>
                </c:pt>
                <c:pt idx="7">
                  <c:v>1146100</c:v>
                </c:pt>
                <c:pt idx="8">
                  <c:v>1146100</c:v>
                </c:pt>
                <c:pt idx="9">
                  <c:v>1146100</c:v>
                </c:pt>
                <c:pt idx="10">
                  <c:v>1146100</c:v>
                </c:pt>
                <c:pt idx="11">
                  <c:v>1146100</c:v>
                </c:pt>
                <c:pt idx="12">
                  <c:v>1146100</c:v>
                </c:pt>
                <c:pt idx="13">
                  <c:v>1146100</c:v>
                </c:pt>
                <c:pt idx="14">
                  <c:v>1146100</c:v>
                </c:pt>
                <c:pt idx="15">
                  <c:v>1146100</c:v>
                </c:pt>
                <c:pt idx="16">
                  <c:v>1146100</c:v>
                </c:pt>
                <c:pt idx="17">
                  <c:v>1146100</c:v>
                </c:pt>
                <c:pt idx="18">
                  <c:v>1146100</c:v>
                </c:pt>
                <c:pt idx="19">
                  <c:v>1146100</c:v>
                </c:pt>
                <c:pt idx="20">
                  <c:v>1146100</c:v>
                </c:pt>
                <c:pt idx="21">
                  <c:v>1146100</c:v>
                </c:pt>
                <c:pt idx="22">
                  <c:v>1146100</c:v>
                </c:pt>
                <c:pt idx="23">
                  <c:v>1146100</c:v>
                </c:pt>
                <c:pt idx="24">
                  <c:v>1146100</c:v>
                </c:pt>
                <c:pt idx="25">
                  <c:v>1146100</c:v>
                </c:pt>
              </c:numCache>
            </c:numRef>
          </c:val>
          <c:smooth val="0"/>
          <c:extLst>
            <c:ext xmlns:c16="http://schemas.microsoft.com/office/drawing/2014/chart" uri="{C3380CC4-5D6E-409C-BE32-E72D297353CC}">
              <c16:uniqueId val="{0000000A-A486-433B-93F4-B12E43049EB0}"/>
            </c:ext>
          </c:extLst>
        </c:ser>
        <c:dLbls>
          <c:showLegendKey val="0"/>
          <c:showVal val="0"/>
          <c:showCatName val="0"/>
          <c:showSerName val="0"/>
          <c:showPercent val="0"/>
          <c:showBubbleSize val="0"/>
        </c:dLbls>
        <c:marker val="1"/>
        <c:smooth val="0"/>
        <c:axId val="1605801408"/>
        <c:axId val="1605801888"/>
      </c:lineChart>
      <c:catAx>
        <c:axId val="1605801408"/>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605801888"/>
        <c:crosses val="autoZero"/>
        <c:auto val="1"/>
        <c:lblAlgn val="ctr"/>
        <c:lblOffset val="100"/>
        <c:noMultiLvlLbl val="0"/>
      </c:catAx>
      <c:valAx>
        <c:axId val="1605801888"/>
        <c:scaling>
          <c:orientation val="minMax"/>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a:t>Water Demand [m</a:t>
                </a:r>
                <a:r>
                  <a:rPr lang="en-US" baseline="30000"/>
                  <a:t>3</a:t>
                </a:r>
                <a:r>
                  <a:rPr lang="en-US"/>
                  <a:t>/year]</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title>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e-DE"/>
          </a:p>
        </c:txPr>
        <c:crossAx val="1605801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50">
          <a:solidFill>
            <a:sysClr val="windowText" lastClr="000000"/>
          </a:solidFill>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dechema.de/GreeNH2_Namibia/_/A-GreeN-H2_Report-on-Kharas-Region-Water-Infrastructure.pdf" TargetMode="External"/><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hyperlink" Target="#'1. Explanation and Instructions'!A1"/><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15.xml"/><Relationship Id="rId1" Type="http://schemas.openxmlformats.org/officeDocument/2006/relationships/hyperlink" Target="#'1. Explanation and Instructions'!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6.xml"/><Relationship Id="rId1" Type="http://schemas.openxmlformats.org/officeDocument/2006/relationships/hyperlink" Target="#'1. Explanation and Instructions'!A1"/></Relationships>
</file>

<file path=xl/drawings/_rels/drawing12.xml.rels><?xml version="1.0" encoding="UTF-8" standalone="yes"?>
<Relationships xmlns="http://schemas.openxmlformats.org/package/2006/relationships"><Relationship Id="rId1" Type="http://schemas.openxmlformats.org/officeDocument/2006/relationships/hyperlink" Target="#'1. Explanation and 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4. L&#252;deritz Population Calc'!A1"/><Relationship Id="rId13" Type="http://schemas.openxmlformats.org/officeDocument/2006/relationships/hyperlink" Target="#'11. Aus Background Data'!A1"/><Relationship Id="rId3" Type="http://schemas.openxmlformats.org/officeDocument/2006/relationships/image" Target="../media/image5.png"/><Relationship Id="rId7" Type="http://schemas.openxmlformats.org/officeDocument/2006/relationships/hyperlink" Target="#'5. L&#252;deritz Domestic Demand'!A1"/><Relationship Id="rId12" Type="http://schemas.openxmlformats.org/officeDocument/2006/relationships/hyperlink" Target="#'9. Aus Pop &amp; Domestic Demand'!A1"/><Relationship Id="rId2" Type="http://schemas.openxmlformats.org/officeDocument/2006/relationships/image" Target="../media/image4.png"/><Relationship Id="rId1" Type="http://schemas.openxmlformats.org/officeDocument/2006/relationships/hyperlink" Target="https://dechema.de/GreeNH2_Namibia/_/A-GreeN-H2_Report-on-Kharas-Region-Water-Infrastructure.pdf" TargetMode="External"/><Relationship Id="rId6" Type="http://schemas.openxmlformats.org/officeDocument/2006/relationships/hyperlink" Target="#'3. L&#252;deritz Industry'!A1"/><Relationship Id="rId11" Type="http://schemas.openxmlformats.org/officeDocument/2006/relationships/hyperlink" Target="#'8. Control Panel - Aus'!A1"/><Relationship Id="rId5" Type="http://schemas.openxmlformats.org/officeDocument/2006/relationships/hyperlink" Target="#'2. Control Panel - L&#252;deritz'!A1"/><Relationship Id="rId15" Type="http://schemas.openxmlformats.org/officeDocument/2006/relationships/image" Target="../media/image6.png"/><Relationship Id="rId10" Type="http://schemas.openxmlformats.org/officeDocument/2006/relationships/hyperlink" Target="#'7. L&#252;deritz Scenarios'!A1"/><Relationship Id="rId4" Type="http://schemas.openxmlformats.org/officeDocument/2006/relationships/hyperlink" Target="#'0. Imprint'!A1"/><Relationship Id="rId9" Type="http://schemas.openxmlformats.org/officeDocument/2006/relationships/hyperlink" Target="#'6. L&#252;deritz Industrial Demand'!A1"/><Relationship Id="rId14" Type="http://schemas.openxmlformats.org/officeDocument/2006/relationships/hyperlink" Target="#'10. Aus Total Demand'!A1"/></Relationships>
</file>

<file path=xl/drawings/_rels/drawing3.xml.rels><?xml version="1.0" encoding="UTF-8" standalone="yes"?>
<Relationships xmlns="http://schemas.openxmlformats.org/package/2006/relationships"><Relationship Id="rId1" Type="http://schemas.openxmlformats.org/officeDocument/2006/relationships/hyperlink" Target="#'1. Explanation and Instructions'!A1"/></Relationships>
</file>

<file path=xl/drawings/_rels/drawing4.xml.rels><?xml version="1.0" encoding="UTF-8" standalone="yes"?>
<Relationships xmlns="http://schemas.openxmlformats.org/package/2006/relationships"><Relationship Id="rId1" Type="http://schemas.openxmlformats.org/officeDocument/2006/relationships/hyperlink" Target="#'1. Explanation and Instructions'!A1"/></Relationships>
</file>

<file path=xl/drawings/_rels/drawing5.xml.rels><?xml version="1.0" encoding="UTF-8" standalone="yes"?>
<Relationships xmlns="http://schemas.openxmlformats.org/package/2006/relationships"><Relationship Id="rId3" Type="http://schemas.openxmlformats.org/officeDocument/2006/relationships/hyperlink" Target="#'1. Explanation and Instructions'!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hyperlink" Target="#'1. Explanation and Instructions'!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7.png"/><Relationship Id="rId4" Type="http://schemas.openxmlformats.org/officeDocument/2006/relationships/hyperlink" Target="#'1. Explanation and Instructions'!A1"/></Relationships>
</file>

<file path=xl/drawings/_rels/drawing8.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10.xml"/><Relationship Id="rId7" Type="http://schemas.openxmlformats.org/officeDocument/2006/relationships/chart" Target="../charts/chart13.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hyperlink" Target="#'1. Explanation and Instructions'!A1"/><Relationship Id="rId4" Type="http://schemas.openxmlformats.org/officeDocument/2006/relationships/chart" Target="../charts/chart11.xml"/><Relationship Id="rId9"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hyperlink" Target="#'1. Explanation and Instructions'!A1"/></Relationships>
</file>

<file path=xl/drawings/drawing1.xml><?xml version="1.0" encoding="utf-8"?>
<xdr:wsDr xmlns:xdr="http://schemas.openxmlformats.org/drawingml/2006/spreadsheetDrawing" xmlns:a="http://schemas.openxmlformats.org/drawingml/2006/main">
  <xdr:twoCellAnchor editAs="oneCell">
    <xdr:from>
      <xdr:col>2</xdr:col>
      <xdr:colOff>78524</xdr:colOff>
      <xdr:row>4</xdr:row>
      <xdr:rowOff>10884</xdr:rowOff>
    </xdr:from>
    <xdr:to>
      <xdr:col>4</xdr:col>
      <xdr:colOff>562686</xdr:colOff>
      <xdr:row>8</xdr:row>
      <xdr:rowOff>183</xdr:rowOff>
    </xdr:to>
    <xdr:pic>
      <xdr:nvPicPr>
        <xdr:cNvPr id="2" name="Grafik 1">
          <a:extLst>
            <a:ext uri="{FF2B5EF4-FFF2-40B4-BE49-F238E27FC236}">
              <a16:creationId xmlns:a16="http://schemas.microsoft.com/office/drawing/2014/main" id="{E70CB189-E925-9350-AC44-D7A20F5A37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171" y="369472"/>
          <a:ext cx="2164969" cy="706476"/>
        </a:xfrm>
        <a:prstGeom prst="rect">
          <a:avLst/>
        </a:prstGeom>
      </xdr:spPr>
    </xdr:pic>
    <xdr:clientData/>
  </xdr:twoCellAnchor>
  <xdr:twoCellAnchor editAs="oneCell">
    <xdr:from>
      <xdr:col>15</xdr:col>
      <xdr:colOff>598526</xdr:colOff>
      <xdr:row>3</xdr:row>
      <xdr:rowOff>9947</xdr:rowOff>
    </xdr:from>
    <xdr:to>
      <xdr:col>17</xdr:col>
      <xdr:colOff>725755</xdr:colOff>
      <xdr:row>8</xdr:row>
      <xdr:rowOff>145549</xdr:rowOff>
    </xdr:to>
    <xdr:pic>
      <xdr:nvPicPr>
        <xdr:cNvPr id="3" name="Picture 15" descr="A flag with a black and yellow flag">
          <a:extLst>
            <a:ext uri="{FF2B5EF4-FFF2-40B4-BE49-F238E27FC236}">
              <a16:creationId xmlns:a16="http://schemas.microsoft.com/office/drawing/2014/main" id="{435536E2-971C-3EA4-4349-EFF058A2B9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5451" y="190922"/>
          <a:ext cx="1565479" cy="1040396"/>
        </a:xfrm>
        <a:prstGeom prst="rect">
          <a:avLst/>
        </a:prstGeom>
      </xdr:spPr>
    </xdr:pic>
    <xdr:clientData/>
  </xdr:twoCellAnchor>
  <xdr:twoCellAnchor editAs="oneCell">
    <xdr:from>
      <xdr:col>24</xdr:col>
      <xdr:colOff>731165</xdr:colOff>
      <xdr:row>3</xdr:row>
      <xdr:rowOff>19050</xdr:rowOff>
    </xdr:from>
    <xdr:to>
      <xdr:col>27</xdr:col>
      <xdr:colOff>504503</xdr:colOff>
      <xdr:row>21</xdr:row>
      <xdr:rowOff>16329</xdr:rowOff>
    </xdr:to>
    <xdr:pic>
      <xdr:nvPicPr>
        <xdr:cNvPr id="4" name="Grafik 3">
          <a:hlinkClick xmlns:r="http://schemas.openxmlformats.org/officeDocument/2006/relationships" r:id="rId3"/>
          <a:extLst>
            <a:ext uri="{FF2B5EF4-FFF2-40B4-BE49-F238E27FC236}">
              <a16:creationId xmlns:a16="http://schemas.microsoft.com/office/drawing/2014/main" id="{A8728129-388E-43C2-85FE-8FFA411FAB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85165" y="676275"/>
          <a:ext cx="2289299" cy="3267075"/>
        </a:xfrm>
        <a:prstGeom prst="rect">
          <a:avLst/>
        </a:prstGeom>
        <a:ln w="1905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24</xdr:col>
      <xdr:colOff>514350</xdr:colOff>
      <xdr:row>23</xdr:row>
      <xdr:rowOff>57150</xdr:rowOff>
    </xdr:from>
    <xdr:to>
      <xdr:col>27</xdr:col>
      <xdr:colOff>694249</xdr:colOff>
      <xdr:row>25</xdr:row>
      <xdr:rowOff>84338</xdr:rowOff>
    </xdr:to>
    <xdr:sp macro="" textlink="">
      <xdr:nvSpPr>
        <xdr:cNvPr id="5" name="Rechteck 4">
          <a:hlinkClick xmlns:r="http://schemas.openxmlformats.org/officeDocument/2006/relationships" r:id="rId5"/>
          <a:extLst>
            <a:ext uri="{FF2B5EF4-FFF2-40B4-BE49-F238E27FC236}">
              <a16:creationId xmlns:a16="http://schemas.microsoft.com/office/drawing/2014/main" id="{79FAFB95-027B-4113-BCE1-46355318351C}"/>
            </a:ext>
          </a:extLst>
        </xdr:cNvPr>
        <xdr:cNvSpPr/>
      </xdr:nvSpPr>
      <xdr:spPr>
        <a:xfrm>
          <a:off x="13468350" y="4333875"/>
          <a:ext cx="2694499" cy="38913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27</xdr:col>
      <xdr:colOff>802820</xdr:colOff>
      <xdr:row>8</xdr:row>
      <xdr:rowOff>1</xdr:rowOff>
    </xdr:from>
    <xdr:to>
      <xdr:col>29</xdr:col>
      <xdr:colOff>421822</xdr:colOff>
      <xdr:row>9</xdr:row>
      <xdr:rowOff>122464</xdr:rowOff>
    </xdr:to>
    <xdr:sp macro="" textlink="">
      <xdr:nvSpPr>
        <xdr:cNvPr id="6" name="Sprechblase: rechteckig mit abgerundeten Ecken 5">
          <a:extLst>
            <a:ext uri="{FF2B5EF4-FFF2-40B4-BE49-F238E27FC236}">
              <a16:creationId xmlns:a16="http://schemas.microsoft.com/office/drawing/2014/main" id="{C2C696C6-435B-425B-A941-30D3F2797DCF}"/>
            </a:ext>
          </a:extLst>
        </xdr:cNvPr>
        <xdr:cNvSpPr/>
      </xdr:nvSpPr>
      <xdr:spPr>
        <a:xfrm>
          <a:off x="16396606" y="1537608"/>
          <a:ext cx="1306287" cy="299356"/>
        </a:xfrm>
        <a:prstGeom prst="wedgeRoundRectCallout">
          <a:avLst>
            <a:gd name="adj1" fmla="val -58421"/>
            <a:gd name="adj2" fmla="val 105516"/>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Click for full report.</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463826</xdr:colOff>
      <xdr:row>3</xdr:row>
      <xdr:rowOff>140804</xdr:rowOff>
    </xdr:from>
    <xdr:to>
      <xdr:col>16</xdr:col>
      <xdr:colOff>531461</xdr:colOff>
      <xdr:row>4</xdr:row>
      <xdr:rowOff>206249</xdr:rowOff>
    </xdr:to>
    <xdr:sp macro="" textlink="">
      <xdr:nvSpPr>
        <xdr:cNvPr id="3" name="Rechteck 2">
          <a:hlinkClick xmlns:r="http://schemas.openxmlformats.org/officeDocument/2006/relationships" r:id="rId1"/>
          <a:extLst>
            <a:ext uri="{FF2B5EF4-FFF2-40B4-BE49-F238E27FC236}">
              <a16:creationId xmlns:a16="http://schemas.microsoft.com/office/drawing/2014/main" id="{D2FD693D-E15F-41B7-A47C-DD4AB215DAE7}"/>
            </a:ext>
          </a:extLst>
        </xdr:cNvPr>
        <xdr:cNvSpPr/>
      </xdr:nvSpPr>
      <xdr:spPr>
        <a:xfrm>
          <a:off x="11247783" y="886239"/>
          <a:ext cx="2701504" cy="380184"/>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17</xdr:col>
      <xdr:colOff>729344</xdr:colOff>
      <xdr:row>25</xdr:row>
      <xdr:rowOff>171451</xdr:rowOff>
    </xdr:from>
    <xdr:to>
      <xdr:col>19</xdr:col>
      <xdr:colOff>141515</xdr:colOff>
      <xdr:row>28</xdr:row>
      <xdr:rowOff>61849</xdr:rowOff>
    </xdr:to>
    <xdr:sp macro="" textlink="">
      <xdr:nvSpPr>
        <xdr:cNvPr id="7" name="Sprechblase: rechteckig mit abgerundeten Ecken 6">
          <a:extLst>
            <a:ext uri="{FF2B5EF4-FFF2-40B4-BE49-F238E27FC236}">
              <a16:creationId xmlns:a16="http://schemas.microsoft.com/office/drawing/2014/main" id="{4805BAB2-CCDC-4C08-BE87-B04B2FB6B580}"/>
            </a:ext>
          </a:extLst>
        </xdr:cNvPr>
        <xdr:cNvSpPr/>
      </xdr:nvSpPr>
      <xdr:spPr>
        <a:xfrm>
          <a:off x="15084880" y="8403772"/>
          <a:ext cx="1208314" cy="421077"/>
        </a:xfrm>
        <a:prstGeom prst="wedgeRoundRectCallout">
          <a:avLst>
            <a:gd name="adj1" fmla="val -97674"/>
            <a:gd name="adj2" fmla="val -5700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To be adjusted with input in sheet</a:t>
          </a:r>
          <a:r>
            <a:rPr lang="de-DE" sz="1000" b="0" baseline="0">
              <a:solidFill>
                <a:schemeClr val="tx1"/>
              </a:solidFill>
              <a:latin typeface="Arial" panose="020B0604020202020204" pitchFamily="34" charset="0"/>
              <a:ea typeface="+mn-ea"/>
              <a:cs typeface="Arial" panose="020B0604020202020204" pitchFamily="34" charset="0"/>
            </a:rPr>
            <a:t> 8</a:t>
          </a:r>
          <a:r>
            <a:rPr lang="de-DE" sz="1000" b="0">
              <a:solidFill>
                <a:schemeClr val="tx1"/>
              </a:solidFill>
              <a:latin typeface="Arial" panose="020B0604020202020204" pitchFamily="34" charset="0"/>
              <a:ea typeface="+mn-ea"/>
              <a:cs typeface="Arial" panose="020B0604020202020204" pitchFamily="34" charset="0"/>
            </a:rPr>
            <a:t>.</a:t>
          </a:r>
        </a:p>
      </xdr:txBody>
    </xdr:sp>
    <xdr:clientData/>
  </xdr:twoCellAnchor>
  <xdr:twoCellAnchor>
    <xdr:from>
      <xdr:col>17</xdr:col>
      <xdr:colOff>885826</xdr:colOff>
      <xdr:row>31</xdr:row>
      <xdr:rowOff>153762</xdr:rowOff>
    </xdr:from>
    <xdr:to>
      <xdr:col>19</xdr:col>
      <xdr:colOff>723899</xdr:colOff>
      <xdr:row>35</xdr:row>
      <xdr:rowOff>175532</xdr:rowOff>
    </xdr:to>
    <xdr:sp macro="" textlink="">
      <xdr:nvSpPr>
        <xdr:cNvPr id="8" name="Sprechblase: rechteckig mit abgerundeten Ecken 7">
          <a:extLst>
            <a:ext uri="{FF2B5EF4-FFF2-40B4-BE49-F238E27FC236}">
              <a16:creationId xmlns:a16="http://schemas.microsoft.com/office/drawing/2014/main" id="{121B8BDC-32AF-4CC0-BF21-B9BC073957FD}"/>
            </a:ext>
          </a:extLst>
        </xdr:cNvPr>
        <xdr:cNvSpPr/>
      </xdr:nvSpPr>
      <xdr:spPr>
        <a:xfrm>
          <a:off x="15472683" y="9447441"/>
          <a:ext cx="1634216" cy="729341"/>
        </a:xfrm>
        <a:prstGeom prst="wedgeRoundRectCallout">
          <a:avLst>
            <a:gd name="adj1" fmla="val -97674"/>
            <a:gd name="adj2" fmla="val -5700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Scenario</a:t>
          </a:r>
          <a:r>
            <a:rPr lang="de-DE" sz="1000" b="0" baseline="0">
              <a:solidFill>
                <a:schemeClr val="tx1"/>
              </a:solidFill>
              <a:latin typeface="Arial" panose="020B0604020202020204" pitchFamily="34" charset="0"/>
              <a:ea typeface="+mn-ea"/>
              <a:cs typeface="Arial" panose="020B0604020202020204" pitchFamily="34" charset="0"/>
            </a:rPr>
            <a:t> C assumes temporary relocation -&gt; population drops post-construction.</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6</xdr:col>
      <xdr:colOff>752474</xdr:colOff>
      <xdr:row>5</xdr:row>
      <xdr:rowOff>276225</xdr:rowOff>
    </xdr:from>
    <xdr:to>
      <xdr:col>14</xdr:col>
      <xdr:colOff>163285</xdr:colOff>
      <xdr:row>15</xdr:row>
      <xdr:rowOff>167368</xdr:rowOff>
    </xdr:to>
    <xdr:graphicFrame macro="">
      <xdr:nvGraphicFramePr>
        <xdr:cNvPr id="2" name="Diagramm 1">
          <a:extLst>
            <a:ext uri="{FF2B5EF4-FFF2-40B4-BE49-F238E27FC236}">
              <a16:creationId xmlns:a16="http://schemas.microsoft.com/office/drawing/2014/main" id="{952D2689-E679-E8DE-B324-603A9D3228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294409</xdr:colOff>
      <xdr:row>8</xdr:row>
      <xdr:rowOff>450272</xdr:rowOff>
    </xdr:from>
    <xdr:to>
      <xdr:col>21</xdr:col>
      <xdr:colOff>686474</xdr:colOff>
      <xdr:row>13</xdr:row>
      <xdr:rowOff>184205</xdr:rowOff>
    </xdr:to>
    <xdr:pic>
      <xdr:nvPicPr>
        <xdr:cNvPr id="6" name="Grafik 5">
          <a:extLst>
            <a:ext uri="{FF2B5EF4-FFF2-40B4-BE49-F238E27FC236}">
              <a16:creationId xmlns:a16="http://schemas.microsoft.com/office/drawing/2014/main" id="{4001C302-03C2-2608-7AB7-3422E707F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79136" y="2788227"/>
          <a:ext cx="5726065" cy="15003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352425</xdr:colOff>
      <xdr:row>3</xdr:row>
      <xdr:rowOff>92529</xdr:rowOff>
    </xdr:from>
    <xdr:to>
      <xdr:col>19</xdr:col>
      <xdr:colOff>465647</xdr:colOff>
      <xdr:row>4</xdr:row>
      <xdr:rowOff>178227</xdr:rowOff>
    </xdr:to>
    <xdr:sp macro="" textlink="">
      <xdr:nvSpPr>
        <xdr:cNvPr id="5" name="Rechteck 4">
          <a:hlinkClick xmlns:r="http://schemas.openxmlformats.org/officeDocument/2006/relationships" r:id="rId1"/>
          <a:extLst>
            <a:ext uri="{FF2B5EF4-FFF2-40B4-BE49-F238E27FC236}">
              <a16:creationId xmlns:a16="http://schemas.microsoft.com/office/drawing/2014/main" id="{2D60A44C-39B4-44E3-8D56-60454EC1ACC0}"/>
            </a:ext>
          </a:extLst>
        </xdr:cNvPr>
        <xdr:cNvSpPr/>
      </xdr:nvSpPr>
      <xdr:spPr>
        <a:xfrm>
          <a:off x="14775996" y="840922"/>
          <a:ext cx="2698580" cy="39866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12</xdr:col>
      <xdr:colOff>299357</xdr:colOff>
      <xdr:row>26</xdr:row>
      <xdr:rowOff>133349</xdr:rowOff>
    </xdr:from>
    <xdr:to>
      <xdr:col>13</xdr:col>
      <xdr:colOff>647700</xdr:colOff>
      <xdr:row>27</xdr:row>
      <xdr:rowOff>357122</xdr:rowOff>
    </xdr:to>
    <xdr:sp macro="" textlink="">
      <xdr:nvSpPr>
        <xdr:cNvPr id="6" name="Sprechblase: rechteckig mit abgerundeten Ecken 5">
          <a:extLst>
            <a:ext uri="{FF2B5EF4-FFF2-40B4-BE49-F238E27FC236}">
              <a16:creationId xmlns:a16="http://schemas.microsoft.com/office/drawing/2014/main" id="{C7E73AF9-40D5-4F8E-9EC8-1EA004246AD1}"/>
            </a:ext>
          </a:extLst>
        </xdr:cNvPr>
        <xdr:cNvSpPr/>
      </xdr:nvSpPr>
      <xdr:spPr>
        <a:xfrm>
          <a:off x="10953750" y="9141278"/>
          <a:ext cx="1205593" cy="427880"/>
        </a:xfrm>
        <a:prstGeom prst="wedgeRoundRectCallout">
          <a:avLst>
            <a:gd name="adj1" fmla="val -141642"/>
            <a:gd name="adj2" fmla="val 267283"/>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To be adjusted with input in sheet</a:t>
          </a:r>
          <a:r>
            <a:rPr lang="de-DE" sz="1000" b="0" baseline="0">
              <a:solidFill>
                <a:schemeClr val="tx1"/>
              </a:solidFill>
              <a:latin typeface="Arial" panose="020B0604020202020204" pitchFamily="34" charset="0"/>
              <a:ea typeface="+mn-ea"/>
              <a:cs typeface="Arial" panose="020B0604020202020204" pitchFamily="34" charset="0"/>
            </a:rPr>
            <a:t> 8</a:t>
          </a:r>
          <a:r>
            <a:rPr lang="de-DE" sz="1000" b="0">
              <a:solidFill>
                <a:schemeClr val="tx1"/>
              </a:solidFill>
              <a:latin typeface="Arial" panose="020B0604020202020204" pitchFamily="34" charset="0"/>
              <a:ea typeface="+mn-ea"/>
              <a:cs typeface="Arial" panose="020B0604020202020204" pitchFamily="34" charset="0"/>
            </a:rPr>
            <a:t>.</a:t>
          </a:r>
        </a:p>
      </xdr:txBody>
    </xdr:sp>
    <xdr:clientData/>
  </xdr:twoCellAnchor>
  <xdr:twoCellAnchor>
    <xdr:from>
      <xdr:col>8</xdr:col>
      <xdr:colOff>439510</xdr:colOff>
      <xdr:row>16</xdr:row>
      <xdr:rowOff>96608</xdr:rowOff>
    </xdr:from>
    <xdr:to>
      <xdr:col>10</xdr:col>
      <xdr:colOff>171450</xdr:colOff>
      <xdr:row>18</xdr:row>
      <xdr:rowOff>247650</xdr:rowOff>
    </xdr:to>
    <xdr:sp macro="" textlink="">
      <xdr:nvSpPr>
        <xdr:cNvPr id="7" name="Sprechblase: rechteckig mit abgerundeten Ecken 6">
          <a:extLst>
            <a:ext uri="{FF2B5EF4-FFF2-40B4-BE49-F238E27FC236}">
              <a16:creationId xmlns:a16="http://schemas.microsoft.com/office/drawing/2014/main" id="{075C6F44-F02F-471B-A217-7C91375E3B9A}"/>
            </a:ext>
          </a:extLst>
        </xdr:cNvPr>
        <xdr:cNvSpPr/>
      </xdr:nvSpPr>
      <xdr:spPr>
        <a:xfrm>
          <a:off x="7297510" y="5593894"/>
          <a:ext cx="1868261" cy="776970"/>
        </a:xfrm>
        <a:prstGeom prst="wedgeRoundRectCallout">
          <a:avLst>
            <a:gd name="adj1" fmla="val -109804"/>
            <a:gd name="adj2" fmla="val 14939"/>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Snapshots for key</a:t>
          </a:r>
          <a:r>
            <a:rPr lang="de-DE" sz="1000" b="0" baseline="0">
              <a:solidFill>
                <a:schemeClr val="tx1"/>
              </a:solidFill>
              <a:latin typeface="Arial" panose="020B0604020202020204" pitchFamily="34" charset="0"/>
              <a:ea typeface="+mn-ea"/>
              <a:cs typeface="Arial" panose="020B0604020202020204" pitchFamily="34" charset="0"/>
            </a:rPr>
            <a:t> years. Deficits highlight infrastructure needs. For specifics, refer to the full report.</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10</xdr:col>
      <xdr:colOff>665388</xdr:colOff>
      <xdr:row>6</xdr:row>
      <xdr:rowOff>27212</xdr:rowOff>
    </xdr:from>
    <xdr:to>
      <xdr:col>22</xdr:col>
      <xdr:colOff>178254</xdr:colOff>
      <xdr:row>22</xdr:row>
      <xdr:rowOff>236763</xdr:rowOff>
    </xdr:to>
    <xdr:graphicFrame macro="">
      <xdr:nvGraphicFramePr>
        <xdr:cNvPr id="8" name="Diagramm 7">
          <a:extLst>
            <a:ext uri="{FF2B5EF4-FFF2-40B4-BE49-F238E27FC236}">
              <a16:creationId xmlns:a16="http://schemas.microsoft.com/office/drawing/2014/main" id="{7E932025-36F5-2EAD-2315-1A915CEE99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23</xdr:col>
      <xdr:colOff>225137</xdr:colOff>
      <xdr:row>12</xdr:row>
      <xdr:rowOff>86590</xdr:rowOff>
    </xdr:from>
    <xdr:to>
      <xdr:col>29</xdr:col>
      <xdr:colOff>751665</xdr:colOff>
      <xdr:row>15</xdr:row>
      <xdr:rowOff>216120</xdr:rowOff>
    </xdr:to>
    <xdr:pic>
      <xdr:nvPicPr>
        <xdr:cNvPr id="10" name="Grafik 9">
          <a:extLst>
            <a:ext uri="{FF2B5EF4-FFF2-40B4-BE49-F238E27FC236}">
              <a16:creationId xmlns:a16="http://schemas.microsoft.com/office/drawing/2014/main" id="{956A814A-EFB9-4374-B33D-D29C424B73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712546" y="3879272"/>
          <a:ext cx="5721983" cy="14976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459440</xdr:colOff>
      <xdr:row>2</xdr:row>
      <xdr:rowOff>149759</xdr:rowOff>
    </xdr:from>
    <xdr:to>
      <xdr:col>7</xdr:col>
      <xdr:colOff>101536</xdr:colOff>
      <xdr:row>4</xdr:row>
      <xdr:rowOff>177588</xdr:rowOff>
    </xdr:to>
    <xdr:sp macro="" textlink="">
      <xdr:nvSpPr>
        <xdr:cNvPr id="3" name="Rechteck 2">
          <a:hlinkClick xmlns:r="http://schemas.openxmlformats.org/officeDocument/2006/relationships" r:id="rId1"/>
          <a:extLst>
            <a:ext uri="{FF2B5EF4-FFF2-40B4-BE49-F238E27FC236}">
              <a16:creationId xmlns:a16="http://schemas.microsoft.com/office/drawing/2014/main" id="{DD2C21A7-95C1-4E53-8EC3-905ED3F11EA1}"/>
            </a:ext>
          </a:extLst>
        </xdr:cNvPr>
        <xdr:cNvSpPr/>
      </xdr:nvSpPr>
      <xdr:spPr>
        <a:xfrm>
          <a:off x="8057028" y="541965"/>
          <a:ext cx="2701302" cy="386417"/>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6</xdr:col>
      <xdr:colOff>171132</xdr:colOff>
      <xdr:row>29</xdr:row>
      <xdr:rowOff>19690</xdr:rowOff>
    </xdr:from>
    <xdr:to>
      <xdr:col>6</xdr:col>
      <xdr:colOff>1393052</xdr:colOff>
      <xdr:row>33</xdr:row>
      <xdr:rowOff>56029</xdr:rowOff>
    </xdr:to>
    <xdr:sp macro="" textlink="">
      <xdr:nvSpPr>
        <xdr:cNvPr id="4" name="Sprechblase: rechteckig mit abgerundeten Ecken 3">
          <a:extLst>
            <a:ext uri="{FF2B5EF4-FFF2-40B4-BE49-F238E27FC236}">
              <a16:creationId xmlns:a16="http://schemas.microsoft.com/office/drawing/2014/main" id="{35AC138B-923F-4187-A7AF-ED6D741AC886}"/>
            </a:ext>
          </a:extLst>
        </xdr:cNvPr>
        <xdr:cNvSpPr/>
      </xdr:nvSpPr>
      <xdr:spPr>
        <a:xfrm>
          <a:off x="8609161" y="5970014"/>
          <a:ext cx="1221920" cy="753515"/>
        </a:xfrm>
        <a:prstGeom prst="wedgeRoundRectCallout">
          <a:avLst>
            <a:gd name="adj1" fmla="val -118613"/>
            <a:gd name="adj2" fmla="val 122320"/>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Additional customers might be added here - for reference only.</a:t>
          </a:r>
        </a:p>
      </xdr:txBody>
    </xdr:sp>
    <xdr:clientData/>
  </xdr:twoCellAnchor>
  <xdr:twoCellAnchor>
    <xdr:from>
      <xdr:col>6</xdr:col>
      <xdr:colOff>2183786</xdr:colOff>
      <xdr:row>12</xdr:row>
      <xdr:rowOff>39381</xdr:rowOff>
    </xdr:from>
    <xdr:to>
      <xdr:col>9</xdr:col>
      <xdr:colOff>9285</xdr:colOff>
      <xdr:row>16</xdr:row>
      <xdr:rowOff>83883</xdr:rowOff>
    </xdr:to>
    <xdr:sp macro="" textlink="">
      <xdr:nvSpPr>
        <xdr:cNvPr id="5" name="Sprechblase: rechteckig mit abgerundeten Ecken 4">
          <a:extLst>
            <a:ext uri="{FF2B5EF4-FFF2-40B4-BE49-F238E27FC236}">
              <a16:creationId xmlns:a16="http://schemas.microsoft.com/office/drawing/2014/main" id="{0B7F5337-0667-4B57-9348-37658CCFC83A}"/>
            </a:ext>
          </a:extLst>
        </xdr:cNvPr>
        <xdr:cNvSpPr/>
      </xdr:nvSpPr>
      <xdr:spPr>
        <a:xfrm>
          <a:off x="10621815" y="2941705"/>
          <a:ext cx="1904441" cy="761678"/>
        </a:xfrm>
        <a:prstGeom prst="wedgeRoundRectCallout">
          <a:avLst>
            <a:gd name="adj1" fmla="val 29077"/>
            <a:gd name="adj2" fmla="val -110131"/>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Consumption is mainly driven by domestic demand - as</a:t>
          </a:r>
          <a:r>
            <a:rPr lang="de-DE" sz="1000" b="0" baseline="0">
              <a:solidFill>
                <a:schemeClr val="tx1"/>
              </a:solidFill>
              <a:latin typeface="Arial" panose="020B0604020202020204" pitchFamily="34" charset="0"/>
              <a:ea typeface="+mn-ea"/>
              <a:cs typeface="Arial" panose="020B0604020202020204" pitchFamily="34" charset="0"/>
            </a:rPr>
            <a:t> is typical for smaller settlements.</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1203</xdr:colOff>
      <xdr:row>4</xdr:row>
      <xdr:rowOff>99491</xdr:rowOff>
    </xdr:from>
    <xdr:to>
      <xdr:col>18</xdr:col>
      <xdr:colOff>769118</xdr:colOff>
      <xdr:row>23</xdr:row>
      <xdr:rowOff>54627</xdr:rowOff>
    </xdr:to>
    <xdr:pic>
      <xdr:nvPicPr>
        <xdr:cNvPr id="7" name="Grafik 6">
          <a:hlinkClick xmlns:r="http://schemas.openxmlformats.org/officeDocument/2006/relationships" r:id="rId1"/>
          <a:extLst>
            <a:ext uri="{FF2B5EF4-FFF2-40B4-BE49-F238E27FC236}">
              <a16:creationId xmlns:a16="http://schemas.microsoft.com/office/drawing/2014/main" id="{61BD1124-97A3-6D83-0C07-42AC7A11E3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4409" y="939932"/>
          <a:ext cx="2452886" cy="3498916"/>
        </a:xfrm>
        <a:prstGeom prst="rect">
          <a:avLst/>
        </a:prstGeom>
        <a:ln w="1905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35</xdr:col>
      <xdr:colOff>473807</xdr:colOff>
      <xdr:row>29</xdr:row>
      <xdr:rowOff>42243</xdr:rowOff>
    </xdr:from>
    <xdr:to>
      <xdr:col>48</xdr:col>
      <xdr:colOff>426309</xdr:colOff>
      <xdr:row>59</xdr:row>
      <xdr:rowOff>118</xdr:rowOff>
    </xdr:to>
    <xdr:pic>
      <xdr:nvPicPr>
        <xdr:cNvPr id="117" name="Grafik 116">
          <a:extLst>
            <a:ext uri="{FF2B5EF4-FFF2-40B4-BE49-F238E27FC236}">
              <a16:creationId xmlns:a16="http://schemas.microsoft.com/office/drawing/2014/main" id="{BF502FA0-5109-6A5D-5310-2442544C6E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268489" y="5843834"/>
          <a:ext cx="10759053" cy="5219881"/>
        </a:xfrm>
        <a:prstGeom prst="rect">
          <a:avLst/>
        </a:prstGeom>
        <a:ln w="1905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25</xdr:col>
      <xdr:colOff>396687</xdr:colOff>
      <xdr:row>4</xdr:row>
      <xdr:rowOff>156321</xdr:rowOff>
    </xdr:from>
    <xdr:to>
      <xdr:col>35</xdr:col>
      <xdr:colOff>325146</xdr:colOff>
      <xdr:row>6</xdr:row>
      <xdr:rowOff>171321</xdr:rowOff>
    </xdr:to>
    <xdr:sp macro="" textlink="">
      <xdr:nvSpPr>
        <xdr:cNvPr id="3" name="Rechteck 2">
          <a:hlinkClick xmlns:r="http://schemas.openxmlformats.org/officeDocument/2006/relationships" r:id="rId4"/>
          <a:extLst>
            <a:ext uri="{FF2B5EF4-FFF2-40B4-BE49-F238E27FC236}">
              <a16:creationId xmlns:a16="http://schemas.microsoft.com/office/drawing/2014/main" id="{8ADAE082-6835-F57D-ED3B-B63526958E66}"/>
            </a:ext>
          </a:extLst>
        </xdr:cNvPr>
        <xdr:cNvSpPr/>
      </xdr:nvSpPr>
      <xdr:spPr>
        <a:xfrm>
          <a:off x="14437658" y="996762"/>
          <a:ext cx="5777929" cy="3960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e-DE" sz="1100" b="1"/>
            <a:t>Go</a:t>
          </a:r>
          <a:r>
            <a:rPr lang="de-DE" sz="1100" b="1" baseline="0"/>
            <a:t> to Sheet 1: Imprint</a:t>
          </a:r>
        </a:p>
      </xdr:txBody>
    </xdr:sp>
    <xdr:clientData/>
  </xdr:twoCellAnchor>
  <xdr:twoCellAnchor>
    <xdr:from>
      <xdr:col>25</xdr:col>
      <xdr:colOff>396687</xdr:colOff>
      <xdr:row>7</xdr:row>
      <xdr:rowOff>94502</xdr:rowOff>
    </xdr:from>
    <xdr:to>
      <xdr:col>30</xdr:col>
      <xdr:colOff>820212</xdr:colOff>
      <xdr:row>9</xdr:row>
      <xdr:rowOff>117346</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CA45563B-0B02-4A0E-8E41-7C06B01DAB83}"/>
            </a:ext>
          </a:extLst>
        </xdr:cNvPr>
        <xdr:cNvSpPr/>
      </xdr:nvSpPr>
      <xdr:spPr>
        <a:xfrm>
          <a:off x="14437658" y="1495237"/>
          <a:ext cx="2709525" cy="39263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e-DE" sz="1000" b="1"/>
            <a:t>Go to</a:t>
          </a:r>
          <a:r>
            <a:rPr lang="de-DE" sz="1000" b="1" baseline="0"/>
            <a:t> Sheet 2: Control Panel - Lüderitz</a:t>
          </a:r>
          <a:endParaRPr lang="de-DE" sz="1000" b="1"/>
        </a:p>
      </xdr:txBody>
    </xdr:sp>
    <xdr:clientData/>
  </xdr:twoCellAnchor>
  <xdr:twoCellAnchor>
    <xdr:from>
      <xdr:col>25</xdr:col>
      <xdr:colOff>396687</xdr:colOff>
      <xdr:row>10</xdr:row>
      <xdr:rowOff>29321</xdr:rowOff>
    </xdr:from>
    <xdr:to>
      <xdr:col>30</xdr:col>
      <xdr:colOff>820212</xdr:colOff>
      <xdr:row>12</xdr:row>
      <xdr:rowOff>44321</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751049BD-85D6-4FAD-B2C6-C5B960312728}"/>
            </a:ext>
          </a:extLst>
        </xdr:cNvPr>
        <xdr:cNvSpPr/>
      </xdr:nvSpPr>
      <xdr:spPr>
        <a:xfrm>
          <a:off x="14437658" y="1990350"/>
          <a:ext cx="2709525" cy="3960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3: Lüderitz Industry</a:t>
          </a:r>
        </a:p>
      </xdr:txBody>
    </xdr:sp>
    <xdr:clientData/>
  </xdr:twoCellAnchor>
  <xdr:twoCellAnchor>
    <xdr:from>
      <xdr:col>25</xdr:col>
      <xdr:colOff>396687</xdr:colOff>
      <xdr:row>15</xdr:row>
      <xdr:rowOff>84976</xdr:rowOff>
    </xdr:from>
    <xdr:to>
      <xdr:col>30</xdr:col>
      <xdr:colOff>820212</xdr:colOff>
      <xdr:row>17</xdr:row>
      <xdr:rowOff>107821</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CAAE8B0C-AED4-4BCB-9F1E-A9510D2AE1D3}"/>
            </a:ext>
          </a:extLst>
        </xdr:cNvPr>
        <xdr:cNvSpPr/>
      </xdr:nvSpPr>
      <xdr:spPr>
        <a:xfrm>
          <a:off x="14437658" y="2987300"/>
          <a:ext cx="2709525" cy="392639"/>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5: Lüderitz Domestic Demand</a:t>
          </a:r>
        </a:p>
      </xdr:txBody>
    </xdr:sp>
    <xdr:clientData/>
  </xdr:twoCellAnchor>
  <xdr:twoCellAnchor>
    <xdr:from>
      <xdr:col>25</xdr:col>
      <xdr:colOff>396687</xdr:colOff>
      <xdr:row>12</xdr:row>
      <xdr:rowOff>146796</xdr:rowOff>
    </xdr:from>
    <xdr:to>
      <xdr:col>30</xdr:col>
      <xdr:colOff>820212</xdr:colOff>
      <xdr:row>14</xdr:row>
      <xdr:rowOff>173001</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294104EB-E1C4-4D74-996D-9CF56971B1BF}"/>
            </a:ext>
          </a:extLst>
        </xdr:cNvPr>
        <xdr:cNvSpPr/>
      </xdr:nvSpPr>
      <xdr:spPr>
        <a:xfrm>
          <a:off x="14437658" y="2488825"/>
          <a:ext cx="2709525" cy="3960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indent="0" algn="ctr"/>
          <a:r>
            <a:rPr lang="de-DE" sz="1000" b="1">
              <a:solidFill>
                <a:schemeClr val="lt1"/>
              </a:solidFill>
              <a:latin typeface="+mn-lt"/>
              <a:ea typeface="+mn-ea"/>
              <a:cs typeface="+mn-cs"/>
            </a:rPr>
            <a:t>Go to sheet 4: Lüderitz pop calculation</a:t>
          </a:r>
        </a:p>
      </xdr:txBody>
    </xdr:sp>
    <xdr:clientData/>
  </xdr:twoCellAnchor>
  <xdr:twoCellAnchor>
    <xdr:from>
      <xdr:col>25</xdr:col>
      <xdr:colOff>396687</xdr:colOff>
      <xdr:row>18</xdr:row>
      <xdr:rowOff>19796</xdr:rowOff>
    </xdr:from>
    <xdr:to>
      <xdr:col>30</xdr:col>
      <xdr:colOff>820212</xdr:colOff>
      <xdr:row>20</xdr:row>
      <xdr:rowOff>34796</xdr:rowOff>
    </xdr:to>
    <xdr:sp macro="" textlink="">
      <xdr:nvSpPr>
        <xdr:cNvPr id="15" name="Rechteck 14">
          <a:hlinkClick xmlns:r="http://schemas.openxmlformats.org/officeDocument/2006/relationships" r:id="rId9"/>
          <a:extLst>
            <a:ext uri="{FF2B5EF4-FFF2-40B4-BE49-F238E27FC236}">
              <a16:creationId xmlns:a16="http://schemas.microsoft.com/office/drawing/2014/main" id="{7E360313-8C9B-4D1C-BD5F-5B7DE76DB981}"/>
            </a:ext>
          </a:extLst>
        </xdr:cNvPr>
        <xdr:cNvSpPr/>
      </xdr:nvSpPr>
      <xdr:spPr>
        <a:xfrm>
          <a:off x="14437658" y="3482414"/>
          <a:ext cx="2709525" cy="3960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6: Lüderitz Industrial Demand</a:t>
          </a:r>
        </a:p>
      </xdr:txBody>
    </xdr:sp>
    <xdr:clientData/>
  </xdr:twoCellAnchor>
  <xdr:twoCellAnchor>
    <xdr:from>
      <xdr:col>25</xdr:col>
      <xdr:colOff>396687</xdr:colOff>
      <xdr:row>20</xdr:row>
      <xdr:rowOff>137271</xdr:rowOff>
    </xdr:from>
    <xdr:to>
      <xdr:col>30</xdr:col>
      <xdr:colOff>820212</xdr:colOff>
      <xdr:row>22</xdr:row>
      <xdr:rowOff>163477</xdr:rowOff>
    </xdr:to>
    <xdr:sp macro="" textlink="">
      <xdr:nvSpPr>
        <xdr:cNvPr id="16" name="Rechteck 15">
          <a:hlinkClick xmlns:r="http://schemas.openxmlformats.org/officeDocument/2006/relationships" r:id="rId10"/>
          <a:extLst>
            <a:ext uri="{FF2B5EF4-FFF2-40B4-BE49-F238E27FC236}">
              <a16:creationId xmlns:a16="http://schemas.microsoft.com/office/drawing/2014/main" id="{D1E7EC9E-9F18-4E66-A072-206D993D7918}"/>
            </a:ext>
          </a:extLst>
        </xdr:cNvPr>
        <xdr:cNvSpPr/>
      </xdr:nvSpPr>
      <xdr:spPr>
        <a:xfrm>
          <a:off x="14437658" y="3980889"/>
          <a:ext cx="2709525" cy="384794"/>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7: Lüderitz Scenarios</a:t>
          </a:r>
        </a:p>
      </xdr:txBody>
    </xdr:sp>
    <xdr:clientData/>
  </xdr:twoCellAnchor>
  <xdr:twoCellAnchor>
    <xdr:from>
      <xdr:col>31</xdr:col>
      <xdr:colOff>339771</xdr:colOff>
      <xdr:row>7</xdr:row>
      <xdr:rowOff>92915</xdr:rowOff>
    </xdr:from>
    <xdr:to>
      <xdr:col>35</xdr:col>
      <xdr:colOff>325146</xdr:colOff>
      <xdr:row>9</xdr:row>
      <xdr:rowOff>115759</xdr:rowOff>
    </xdr:to>
    <xdr:sp macro="" textlink="">
      <xdr:nvSpPr>
        <xdr:cNvPr id="29" name="Rechteck 28">
          <a:hlinkClick xmlns:r="http://schemas.openxmlformats.org/officeDocument/2006/relationships" r:id="rId11"/>
          <a:extLst>
            <a:ext uri="{FF2B5EF4-FFF2-40B4-BE49-F238E27FC236}">
              <a16:creationId xmlns:a16="http://schemas.microsoft.com/office/drawing/2014/main" id="{FBC83D98-61F6-4750-BBCC-2F62DEE82740}"/>
            </a:ext>
          </a:extLst>
        </xdr:cNvPr>
        <xdr:cNvSpPr/>
      </xdr:nvSpPr>
      <xdr:spPr>
        <a:xfrm>
          <a:off x="17507183" y="1493650"/>
          <a:ext cx="2708404" cy="39263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8: Control Panel - Aus</a:t>
          </a:r>
        </a:p>
      </xdr:txBody>
    </xdr:sp>
    <xdr:clientData/>
  </xdr:twoCellAnchor>
  <xdr:twoCellAnchor>
    <xdr:from>
      <xdr:col>31</xdr:col>
      <xdr:colOff>339771</xdr:colOff>
      <xdr:row>10</xdr:row>
      <xdr:rowOff>26147</xdr:rowOff>
    </xdr:from>
    <xdr:to>
      <xdr:col>35</xdr:col>
      <xdr:colOff>325146</xdr:colOff>
      <xdr:row>12</xdr:row>
      <xdr:rowOff>41147</xdr:rowOff>
    </xdr:to>
    <xdr:sp macro="" textlink="">
      <xdr:nvSpPr>
        <xdr:cNvPr id="30" name="Rechteck 29">
          <a:hlinkClick xmlns:r="http://schemas.openxmlformats.org/officeDocument/2006/relationships" r:id="rId12"/>
          <a:extLst>
            <a:ext uri="{FF2B5EF4-FFF2-40B4-BE49-F238E27FC236}">
              <a16:creationId xmlns:a16="http://schemas.microsoft.com/office/drawing/2014/main" id="{4B44F1FB-0405-4BE6-B0B1-F72612CAD805}"/>
            </a:ext>
          </a:extLst>
        </xdr:cNvPr>
        <xdr:cNvSpPr/>
      </xdr:nvSpPr>
      <xdr:spPr>
        <a:xfrm>
          <a:off x="17507183" y="1987176"/>
          <a:ext cx="2708404" cy="3960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9: Aus Pop. &amp; Domestic Demand</a:t>
          </a:r>
        </a:p>
      </xdr:txBody>
    </xdr:sp>
    <xdr:clientData/>
  </xdr:twoCellAnchor>
  <xdr:twoCellAnchor>
    <xdr:from>
      <xdr:col>31</xdr:col>
      <xdr:colOff>339771</xdr:colOff>
      <xdr:row>15</xdr:row>
      <xdr:rowOff>78628</xdr:rowOff>
    </xdr:from>
    <xdr:to>
      <xdr:col>35</xdr:col>
      <xdr:colOff>325146</xdr:colOff>
      <xdr:row>17</xdr:row>
      <xdr:rowOff>101473</xdr:rowOff>
    </xdr:to>
    <xdr:sp macro="" textlink="">
      <xdr:nvSpPr>
        <xdr:cNvPr id="31" name="Rechteck 30">
          <a:hlinkClick xmlns:r="http://schemas.openxmlformats.org/officeDocument/2006/relationships" r:id="rId13"/>
          <a:extLst>
            <a:ext uri="{FF2B5EF4-FFF2-40B4-BE49-F238E27FC236}">
              <a16:creationId xmlns:a16="http://schemas.microsoft.com/office/drawing/2014/main" id="{F9825E0D-91B0-4B5E-A8A2-71B86669D99B}"/>
            </a:ext>
          </a:extLst>
        </xdr:cNvPr>
        <xdr:cNvSpPr/>
      </xdr:nvSpPr>
      <xdr:spPr>
        <a:xfrm>
          <a:off x="17507183" y="2980952"/>
          <a:ext cx="2708404" cy="392639"/>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11: Aus Background Data</a:t>
          </a:r>
        </a:p>
      </xdr:txBody>
    </xdr:sp>
    <xdr:clientData/>
  </xdr:twoCellAnchor>
  <xdr:twoCellAnchor>
    <xdr:from>
      <xdr:col>31</xdr:col>
      <xdr:colOff>339771</xdr:colOff>
      <xdr:row>12</xdr:row>
      <xdr:rowOff>142035</xdr:rowOff>
    </xdr:from>
    <xdr:to>
      <xdr:col>35</xdr:col>
      <xdr:colOff>325146</xdr:colOff>
      <xdr:row>14</xdr:row>
      <xdr:rowOff>168240</xdr:rowOff>
    </xdr:to>
    <xdr:sp macro="" textlink="">
      <xdr:nvSpPr>
        <xdr:cNvPr id="96" name="Rechteck 95">
          <a:hlinkClick xmlns:r="http://schemas.openxmlformats.org/officeDocument/2006/relationships" r:id="rId14"/>
          <a:extLst>
            <a:ext uri="{FF2B5EF4-FFF2-40B4-BE49-F238E27FC236}">
              <a16:creationId xmlns:a16="http://schemas.microsoft.com/office/drawing/2014/main" id="{1F53A756-8C2E-4FC9-AE9A-8D99A4D3BB52}"/>
            </a:ext>
          </a:extLst>
        </xdr:cNvPr>
        <xdr:cNvSpPr/>
      </xdr:nvSpPr>
      <xdr:spPr>
        <a:xfrm>
          <a:off x="17507183" y="2484064"/>
          <a:ext cx="2708404" cy="3960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10: Aus Total Demand</a:t>
          </a:r>
        </a:p>
      </xdr:txBody>
    </xdr:sp>
    <xdr:clientData/>
  </xdr:twoCellAnchor>
  <xdr:twoCellAnchor>
    <xdr:from>
      <xdr:col>19</xdr:col>
      <xdr:colOff>781051</xdr:colOff>
      <xdr:row>9</xdr:row>
      <xdr:rowOff>149679</xdr:rowOff>
    </xdr:from>
    <xdr:to>
      <xdr:col>24</xdr:col>
      <xdr:colOff>410938</xdr:colOff>
      <xdr:row>13</xdr:row>
      <xdr:rowOff>7394</xdr:rowOff>
    </xdr:to>
    <xdr:sp macro="" textlink="">
      <xdr:nvSpPr>
        <xdr:cNvPr id="2" name="Sprechblase: rechteckig mit abgerundeten Ecken 1">
          <a:extLst>
            <a:ext uri="{FF2B5EF4-FFF2-40B4-BE49-F238E27FC236}">
              <a16:creationId xmlns:a16="http://schemas.microsoft.com/office/drawing/2014/main" id="{A4C89A88-01A5-4BB1-A8D1-E4ACE94F5772}"/>
            </a:ext>
          </a:extLst>
        </xdr:cNvPr>
        <xdr:cNvSpPr/>
      </xdr:nvSpPr>
      <xdr:spPr>
        <a:xfrm>
          <a:off x="11748408" y="1905000"/>
          <a:ext cx="1929494" cy="606108"/>
        </a:xfrm>
        <a:prstGeom prst="wedgeRoundRectCallout">
          <a:avLst>
            <a:gd name="adj1" fmla="val -80503"/>
            <a:gd name="adj2" fmla="val 107776"/>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1000" b="0">
              <a:solidFill>
                <a:schemeClr val="tx1"/>
              </a:solidFill>
              <a:effectLst/>
              <a:latin typeface="Arial" panose="020B0604020202020204" pitchFamily="34" charset="0"/>
              <a:ea typeface="+mn-ea"/>
              <a:cs typeface="Arial" panose="020B0604020202020204" pitchFamily="34" charset="0"/>
            </a:rPr>
            <a:t>Click for full report including detailed information on scenarios</a:t>
          </a:r>
          <a:r>
            <a:rPr lang="de-DE" sz="1000" b="0" baseline="0">
              <a:solidFill>
                <a:schemeClr val="tx1"/>
              </a:solidFill>
              <a:effectLst/>
              <a:latin typeface="Arial" panose="020B0604020202020204" pitchFamily="34" charset="0"/>
              <a:ea typeface="+mn-ea"/>
              <a:cs typeface="Arial" panose="020B0604020202020204" pitchFamily="34" charset="0"/>
            </a:rPr>
            <a:t> and underlying assumptions.</a:t>
          </a:r>
          <a:endParaRPr lang="de-DE" sz="10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36</xdr:col>
      <xdr:colOff>326571</xdr:colOff>
      <xdr:row>5</xdr:row>
      <xdr:rowOff>136072</xdr:rowOff>
    </xdr:from>
    <xdr:to>
      <xdr:col>38</xdr:col>
      <xdr:colOff>566058</xdr:colOff>
      <xdr:row>9</xdr:row>
      <xdr:rowOff>11477</xdr:rowOff>
    </xdr:to>
    <xdr:sp macro="" textlink="">
      <xdr:nvSpPr>
        <xdr:cNvPr id="4" name="Sprechblase: rechteckig mit abgerundeten Ecken 3">
          <a:extLst>
            <a:ext uri="{FF2B5EF4-FFF2-40B4-BE49-F238E27FC236}">
              <a16:creationId xmlns:a16="http://schemas.microsoft.com/office/drawing/2014/main" id="{E21B53A5-0F0B-4C74-9ED6-C0243D8C5BD5}"/>
            </a:ext>
          </a:extLst>
        </xdr:cNvPr>
        <xdr:cNvSpPr/>
      </xdr:nvSpPr>
      <xdr:spPr>
        <a:xfrm>
          <a:off x="21159107" y="1156608"/>
          <a:ext cx="1926772" cy="610190"/>
        </a:xfrm>
        <a:prstGeom prst="wedgeRoundRectCallout">
          <a:avLst>
            <a:gd name="adj1" fmla="val -80503"/>
            <a:gd name="adj2" fmla="val 107776"/>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1000" b="0">
              <a:solidFill>
                <a:schemeClr val="tx1"/>
              </a:solidFill>
              <a:effectLst/>
              <a:latin typeface="Arial" panose="020B0604020202020204" pitchFamily="34" charset="0"/>
              <a:ea typeface="+mn-ea"/>
              <a:cs typeface="Arial" panose="020B0604020202020204" pitchFamily="34" charset="0"/>
            </a:rPr>
            <a:t>Use for quick navigation. A return button to</a:t>
          </a:r>
          <a:r>
            <a:rPr lang="de-DE" sz="1000" b="0" baseline="0">
              <a:solidFill>
                <a:schemeClr val="tx1"/>
              </a:solidFill>
              <a:effectLst/>
              <a:latin typeface="Arial" panose="020B0604020202020204" pitchFamily="34" charset="0"/>
              <a:ea typeface="+mn-ea"/>
              <a:cs typeface="Arial" panose="020B0604020202020204" pitchFamily="34" charset="0"/>
            </a:rPr>
            <a:t> this sheet is provided on all other sheets.</a:t>
          </a:r>
          <a:endParaRPr lang="de-DE"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23</xdr:col>
      <xdr:colOff>285749</xdr:colOff>
      <xdr:row>70</xdr:row>
      <xdr:rowOff>476250</xdr:rowOff>
    </xdr:from>
    <xdr:to>
      <xdr:col>32</xdr:col>
      <xdr:colOff>438328</xdr:colOff>
      <xdr:row>75</xdr:row>
      <xdr:rowOff>162805</xdr:rowOff>
    </xdr:to>
    <xdr:pic>
      <xdr:nvPicPr>
        <xdr:cNvPr id="8" name="Grafik 7">
          <a:extLst>
            <a:ext uri="{FF2B5EF4-FFF2-40B4-BE49-F238E27FC236}">
              <a16:creationId xmlns:a16="http://schemas.microsoft.com/office/drawing/2014/main" id="{BA625087-A349-4522-9BD4-6F643439FF1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453937" y="14478000"/>
          <a:ext cx="5724704" cy="1496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397565</xdr:colOff>
      <xdr:row>3</xdr:row>
      <xdr:rowOff>16566</xdr:rowOff>
    </xdr:from>
    <xdr:to>
      <xdr:col>11</xdr:col>
      <xdr:colOff>2232033</xdr:colOff>
      <xdr:row>5</xdr:row>
      <xdr:rowOff>43990</xdr:rowOff>
    </xdr:to>
    <xdr:sp macro="" textlink="">
      <xdr:nvSpPr>
        <xdr:cNvPr id="5" name="Rechteck 4">
          <a:hlinkClick xmlns:r="http://schemas.openxmlformats.org/officeDocument/2006/relationships" r:id="rId1"/>
          <a:extLst>
            <a:ext uri="{FF2B5EF4-FFF2-40B4-BE49-F238E27FC236}">
              <a16:creationId xmlns:a16="http://schemas.microsoft.com/office/drawing/2014/main" id="{CFDA342F-E734-4217-B164-9D88225510B7}"/>
            </a:ext>
          </a:extLst>
        </xdr:cNvPr>
        <xdr:cNvSpPr/>
      </xdr:nvSpPr>
      <xdr:spPr>
        <a:xfrm>
          <a:off x="14221239" y="629479"/>
          <a:ext cx="2695859" cy="391859"/>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11</xdr:col>
      <xdr:colOff>268940</xdr:colOff>
      <xdr:row>7</xdr:row>
      <xdr:rowOff>28932</xdr:rowOff>
    </xdr:from>
    <xdr:to>
      <xdr:col>11</xdr:col>
      <xdr:colOff>1934535</xdr:colOff>
      <xdr:row>9</xdr:row>
      <xdr:rowOff>30898</xdr:rowOff>
    </xdr:to>
    <xdr:sp macro="" textlink="">
      <xdr:nvSpPr>
        <xdr:cNvPr id="8" name="Sprechblase: rechteckig mit abgerundeten Ecken 7">
          <a:extLst>
            <a:ext uri="{FF2B5EF4-FFF2-40B4-BE49-F238E27FC236}">
              <a16:creationId xmlns:a16="http://schemas.microsoft.com/office/drawing/2014/main" id="{B92AAB5E-D97B-E12A-3EC7-F499013896C6}"/>
            </a:ext>
          </a:extLst>
        </xdr:cNvPr>
        <xdr:cNvSpPr/>
      </xdr:nvSpPr>
      <xdr:spPr>
        <a:xfrm>
          <a:off x="14971058" y="1463285"/>
          <a:ext cx="1665595" cy="629495"/>
        </a:xfrm>
        <a:prstGeom prst="wedgeRoundRectCallout">
          <a:avLst>
            <a:gd name="adj1" fmla="val -109700"/>
            <a:gd name="adj2" fmla="val 162545"/>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Blue cells can be edited and will automatically update downstream sheets.</a:t>
          </a:r>
        </a:p>
      </xdr:txBody>
    </xdr:sp>
    <xdr:clientData/>
  </xdr:twoCellAnchor>
  <xdr:twoCellAnchor>
    <xdr:from>
      <xdr:col>3</xdr:col>
      <xdr:colOff>19691</xdr:colOff>
      <xdr:row>17</xdr:row>
      <xdr:rowOff>18700</xdr:rowOff>
    </xdr:from>
    <xdr:to>
      <xdr:col>5</xdr:col>
      <xdr:colOff>980070</xdr:colOff>
      <xdr:row>20</xdr:row>
      <xdr:rowOff>88286</xdr:rowOff>
    </xdr:to>
    <xdr:sp macro="" textlink="">
      <xdr:nvSpPr>
        <xdr:cNvPr id="11" name="Sprechblase: rechteckig mit abgerundeten Ecken 10">
          <a:extLst>
            <a:ext uri="{FF2B5EF4-FFF2-40B4-BE49-F238E27FC236}">
              <a16:creationId xmlns:a16="http://schemas.microsoft.com/office/drawing/2014/main" id="{D3209029-4776-4D82-A886-6F65AF751BB9}"/>
            </a:ext>
          </a:extLst>
        </xdr:cNvPr>
        <xdr:cNvSpPr/>
      </xdr:nvSpPr>
      <xdr:spPr>
        <a:xfrm>
          <a:off x="3437485" y="4366582"/>
          <a:ext cx="2305085" cy="607469"/>
        </a:xfrm>
        <a:prstGeom prst="wedgeRoundRectCallout">
          <a:avLst>
            <a:gd name="adj1" fmla="val 36563"/>
            <a:gd name="adj2" fmla="val -14366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Starting year and population set the baseline for all scenarios. Changes here update population calculations in Sheet 4.</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2</xdr:col>
      <xdr:colOff>371156</xdr:colOff>
      <xdr:row>13</xdr:row>
      <xdr:rowOff>335516</xdr:rowOff>
    </xdr:from>
    <xdr:to>
      <xdr:col>2</xdr:col>
      <xdr:colOff>2259553</xdr:colOff>
      <xdr:row>15</xdr:row>
      <xdr:rowOff>104936</xdr:rowOff>
    </xdr:to>
    <xdr:sp macro="" textlink="">
      <xdr:nvSpPr>
        <xdr:cNvPr id="12" name="Sprechblase: rechteckig mit abgerundeten Ecken 11">
          <a:extLst>
            <a:ext uri="{FF2B5EF4-FFF2-40B4-BE49-F238E27FC236}">
              <a16:creationId xmlns:a16="http://schemas.microsoft.com/office/drawing/2014/main" id="{EEE98F62-9B87-4D92-B605-397182151708}"/>
            </a:ext>
          </a:extLst>
        </xdr:cNvPr>
        <xdr:cNvSpPr/>
      </xdr:nvSpPr>
      <xdr:spPr>
        <a:xfrm>
          <a:off x="998685" y="3338692"/>
          <a:ext cx="1888397" cy="587450"/>
        </a:xfrm>
        <a:prstGeom prst="wedgeRoundRectCallout">
          <a:avLst>
            <a:gd name="adj1" fmla="val 97147"/>
            <a:gd name="adj2" fmla="val -101217"/>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Grey cells mark factual data and key assumptions that can not be changed.</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5</xdr:col>
      <xdr:colOff>2503315</xdr:colOff>
      <xdr:row>16</xdr:row>
      <xdr:rowOff>104263</xdr:rowOff>
    </xdr:from>
    <xdr:to>
      <xdr:col>7</xdr:col>
      <xdr:colOff>371154</xdr:colOff>
      <xdr:row>21</xdr:row>
      <xdr:rowOff>131749</xdr:rowOff>
    </xdr:to>
    <xdr:sp macro="" textlink="">
      <xdr:nvSpPr>
        <xdr:cNvPr id="13" name="Sprechblase: rechteckig mit abgerundeten Ecken 12">
          <a:extLst>
            <a:ext uri="{FF2B5EF4-FFF2-40B4-BE49-F238E27FC236}">
              <a16:creationId xmlns:a16="http://schemas.microsoft.com/office/drawing/2014/main" id="{482326D5-553D-4312-8A9A-A1CB80A575B5}"/>
            </a:ext>
          </a:extLst>
        </xdr:cNvPr>
        <xdr:cNvSpPr/>
      </xdr:nvSpPr>
      <xdr:spPr>
        <a:xfrm>
          <a:off x="7265815" y="4272851"/>
          <a:ext cx="2081251" cy="923957"/>
        </a:xfrm>
        <a:prstGeom prst="wedgeRoundRectCallout">
          <a:avLst>
            <a:gd name="adj1" fmla="val -30885"/>
            <a:gd name="adj2" fmla="val -24643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Relocation factor (0-1) estimates how many workers bring families. Lower values mean fewer permanent residents. Will be used to calculate Residents/Job</a:t>
          </a:r>
          <a:r>
            <a:rPr lang="en-US" sz="1000" b="0" baseline="0">
              <a:solidFill>
                <a:schemeClr val="tx1"/>
              </a:solidFill>
              <a:latin typeface="Arial" panose="020B0604020202020204" pitchFamily="34" charset="0"/>
              <a:ea typeface="+mn-ea"/>
              <a:cs typeface="Arial" panose="020B0604020202020204" pitchFamily="34" charset="0"/>
            </a:rPr>
            <a:t> Multiplier.</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9</xdr:col>
      <xdr:colOff>256377</xdr:colOff>
      <xdr:row>28</xdr:row>
      <xdr:rowOff>172859</xdr:rowOff>
    </xdr:from>
    <xdr:to>
      <xdr:col>11</xdr:col>
      <xdr:colOff>112058</xdr:colOff>
      <xdr:row>32</xdr:row>
      <xdr:rowOff>65875</xdr:rowOff>
    </xdr:to>
    <xdr:sp macro="" textlink="">
      <xdr:nvSpPr>
        <xdr:cNvPr id="14" name="Sprechblase: rechteckig mit abgerundeten Ecken 13">
          <a:extLst>
            <a:ext uri="{FF2B5EF4-FFF2-40B4-BE49-F238E27FC236}">
              <a16:creationId xmlns:a16="http://schemas.microsoft.com/office/drawing/2014/main" id="{ECE0DC8D-F313-4174-A862-6A95C7150157}"/>
            </a:ext>
          </a:extLst>
        </xdr:cNvPr>
        <xdr:cNvSpPr/>
      </xdr:nvSpPr>
      <xdr:spPr>
        <a:xfrm>
          <a:off x="13232789" y="6515388"/>
          <a:ext cx="1581387" cy="610193"/>
        </a:xfrm>
        <a:prstGeom prst="wedgeRoundRectCallout">
          <a:avLst>
            <a:gd name="adj1" fmla="val -35391"/>
            <a:gd name="adj2" fmla="val -173509"/>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Numbers not public as of publication of this tool. Can be added later.</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11</xdr:col>
      <xdr:colOff>504265</xdr:colOff>
      <xdr:row>19</xdr:row>
      <xdr:rowOff>170137</xdr:rowOff>
    </xdr:from>
    <xdr:to>
      <xdr:col>11</xdr:col>
      <xdr:colOff>2779057</xdr:colOff>
      <xdr:row>23</xdr:row>
      <xdr:rowOff>29535</xdr:rowOff>
    </xdr:to>
    <xdr:sp macro="" textlink="">
      <xdr:nvSpPr>
        <xdr:cNvPr id="15" name="Sprechblase: rechteckig mit abgerundeten Ecken 14">
          <a:extLst>
            <a:ext uri="{FF2B5EF4-FFF2-40B4-BE49-F238E27FC236}">
              <a16:creationId xmlns:a16="http://schemas.microsoft.com/office/drawing/2014/main" id="{C8CCB296-A709-4CC1-8337-F882A088A93B}"/>
            </a:ext>
          </a:extLst>
        </xdr:cNvPr>
        <xdr:cNvSpPr/>
      </xdr:nvSpPr>
      <xdr:spPr>
        <a:xfrm>
          <a:off x="15206383" y="4876608"/>
          <a:ext cx="2274792" cy="598986"/>
        </a:xfrm>
        <a:prstGeom prst="wedgeRoundRectCallout">
          <a:avLst>
            <a:gd name="adj1" fmla="val -104308"/>
            <a:gd name="adj2" fmla="val -2409"/>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Aquifer yield is a fixed sustainable limit. Use this to check if demands exceed supply in downstream sheets.</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324971</xdr:colOff>
      <xdr:row>3</xdr:row>
      <xdr:rowOff>67235</xdr:rowOff>
    </xdr:from>
    <xdr:to>
      <xdr:col>22</xdr:col>
      <xdr:colOff>432271</xdr:colOff>
      <xdr:row>5</xdr:row>
      <xdr:rowOff>100506</xdr:rowOff>
    </xdr:to>
    <xdr:sp macro="" textlink="">
      <xdr:nvSpPr>
        <xdr:cNvPr id="6" name="Rechteck 5">
          <a:hlinkClick xmlns:r="http://schemas.openxmlformats.org/officeDocument/2006/relationships" r:id="rId1"/>
          <a:extLst>
            <a:ext uri="{FF2B5EF4-FFF2-40B4-BE49-F238E27FC236}">
              <a16:creationId xmlns:a16="http://schemas.microsoft.com/office/drawing/2014/main" id="{10CD263D-6D16-4027-A0C7-C8B566ED2920}"/>
            </a:ext>
          </a:extLst>
        </xdr:cNvPr>
        <xdr:cNvSpPr/>
      </xdr:nvSpPr>
      <xdr:spPr>
        <a:xfrm>
          <a:off x="22120412" y="672353"/>
          <a:ext cx="2695859" cy="391859"/>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31</xdr:col>
      <xdr:colOff>670649</xdr:colOff>
      <xdr:row>42</xdr:row>
      <xdr:rowOff>0</xdr:rowOff>
    </xdr:from>
    <xdr:to>
      <xdr:col>33</xdr:col>
      <xdr:colOff>605786</xdr:colOff>
      <xdr:row>45</xdr:row>
      <xdr:rowOff>104506</xdr:rowOff>
    </xdr:to>
    <xdr:sp macro="" textlink="">
      <xdr:nvSpPr>
        <xdr:cNvPr id="3" name="Sprechblase: rechteckig mit abgerundeten Ecken 2">
          <a:extLst>
            <a:ext uri="{FF2B5EF4-FFF2-40B4-BE49-F238E27FC236}">
              <a16:creationId xmlns:a16="http://schemas.microsoft.com/office/drawing/2014/main" id="{6593D878-4EE5-4D0F-9822-59CCD0F5CDD8}"/>
            </a:ext>
          </a:extLst>
        </xdr:cNvPr>
        <xdr:cNvSpPr/>
      </xdr:nvSpPr>
      <xdr:spPr>
        <a:xfrm>
          <a:off x="32899785" y="9057409"/>
          <a:ext cx="1666956" cy="624052"/>
        </a:xfrm>
        <a:prstGeom prst="wedgeRoundRectCallout">
          <a:avLst>
            <a:gd name="adj1" fmla="val -109700"/>
            <a:gd name="adj2" fmla="val 162545"/>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Blue cells can be edited and will automatically update downstream sheets.</a:t>
          </a:r>
        </a:p>
      </xdr:txBody>
    </xdr:sp>
    <xdr:clientData/>
  </xdr:twoCellAnchor>
  <xdr:twoCellAnchor>
    <xdr:from>
      <xdr:col>29</xdr:col>
      <xdr:colOff>665559</xdr:colOff>
      <xdr:row>69</xdr:row>
      <xdr:rowOff>60385</xdr:rowOff>
    </xdr:from>
    <xdr:to>
      <xdr:col>31</xdr:col>
      <xdr:colOff>513767</xdr:colOff>
      <xdr:row>72</xdr:row>
      <xdr:rowOff>155114</xdr:rowOff>
    </xdr:to>
    <xdr:sp macro="" textlink="">
      <xdr:nvSpPr>
        <xdr:cNvPr id="9" name="Sprechblase: rechteckig mit abgerundeten Ecken 8">
          <a:extLst>
            <a:ext uri="{FF2B5EF4-FFF2-40B4-BE49-F238E27FC236}">
              <a16:creationId xmlns:a16="http://schemas.microsoft.com/office/drawing/2014/main" id="{32FA43D2-59A7-4124-BF4C-FA822BA07EA6}"/>
            </a:ext>
          </a:extLst>
        </xdr:cNvPr>
        <xdr:cNvSpPr/>
      </xdr:nvSpPr>
      <xdr:spPr>
        <a:xfrm>
          <a:off x="31162877" y="14105430"/>
          <a:ext cx="1580026" cy="614275"/>
        </a:xfrm>
        <a:prstGeom prst="wedgeRoundRectCallout">
          <a:avLst>
            <a:gd name="adj1" fmla="val -35391"/>
            <a:gd name="adj2" fmla="val -173509"/>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Numbers not public as of publication of this tool. Can be added later.</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4</xdr:col>
      <xdr:colOff>378961</xdr:colOff>
      <xdr:row>44</xdr:row>
      <xdr:rowOff>69273</xdr:rowOff>
    </xdr:from>
    <xdr:to>
      <xdr:col>6</xdr:col>
      <xdr:colOff>174193</xdr:colOff>
      <xdr:row>48</xdr:row>
      <xdr:rowOff>1959</xdr:rowOff>
    </xdr:to>
    <xdr:sp macro="" textlink="">
      <xdr:nvSpPr>
        <xdr:cNvPr id="10" name="Sprechblase: rechteckig mit abgerundeten Ecken 9">
          <a:extLst>
            <a:ext uri="{FF2B5EF4-FFF2-40B4-BE49-F238E27FC236}">
              <a16:creationId xmlns:a16="http://schemas.microsoft.com/office/drawing/2014/main" id="{3C449F61-89DF-428B-B3A6-931B01E2945A}"/>
            </a:ext>
          </a:extLst>
        </xdr:cNvPr>
        <xdr:cNvSpPr/>
      </xdr:nvSpPr>
      <xdr:spPr>
        <a:xfrm>
          <a:off x="5072188" y="9473046"/>
          <a:ext cx="1665596" cy="625413"/>
        </a:xfrm>
        <a:prstGeom prst="wedgeRoundRectCallout">
          <a:avLst>
            <a:gd name="adj1" fmla="val -109700"/>
            <a:gd name="adj2" fmla="val 162545"/>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Blue cells can be edited and will automatically update downstream sheets.</a:t>
          </a:r>
        </a:p>
      </xdr:txBody>
    </xdr:sp>
    <xdr:clientData/>
  </xdr:twoCellAnchor>
  <xdr:twoCellAnchor>
    <xdr:from>
      <xdr:col>14</xdr:col>
      <xdr:colOff>516825</xdr:colOff>
      <xdr:row>24</xdr:row>
      <xdr:rowOff>388764</xdr:rowOff>
    </xdr:from>
    <xdr:to>
      <xdr:col>16</xdr:col>
      <xdr:colOff>677485</xdr:colOff>
      <xdr:row>27</xdr:row>
      <xdr:rowOff>159538</xdr:rowOff>
    </xdr:to>
    <xdr:sp macro="" textlink="">
      <xdr:nvSpPr>
        <xdr:cNvPr id="11" name="Sprechblase: rechteckig mit abgerundeten Ecken 10">
          <a:extLst>
            <a:ext uri="{FF2B5EF4-FFF2-40B4-BE49-F238E27FC236}">
              <a16:creationId xmlns:a16="http://schemas.microsoft.com/office/drawing/2014/main" id="{FC25B921-F8A5-426C-BE8E-BBC12034CBAA}"/>
            </a:ext>
          </a:extLst>
        </xdr:cNvPr>
        <xdr:cNvSpPr/>
      </xdr:nvSpPr>
      <xdr:spPr>
        <a:xfrm>
          <a:off x="17713780" y="5722764"/>
          <a:ext cx="1892478" cy="584729"/>
        </a:xfrm>
        <a:prstGeom prst="wedgeRoundRectCallout">
          <a:avLst>
            <a:gd name="adj1" fmla="val 90741"/>
            <a:gd name="adj2" fmla="val -154529"/>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Grey cells mark factual data and key assumptions that can not be changed.</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8</xdr:col>
      <xdr:colOff>421743</xdr:colOff>
      <xdr:row>36</xdr:row>
      <xdr:rowOff>144255</xdr:rowOff>
    </xdr:from>
    <xdr:to>
      <xdr:col>10</xdr:col>
      <xdr:colOff>269951</xdr:colOff>
      <xdr:row>39</xdr:row>
      <xdr:rowOff>241706</xdr:rowOff>
    </xdr:to>
    <xdr:sp macro="" textlink="">
      <xdr:nvSpPr>
        <xdr:cNvPr id="12" name="Sprechblase: rechteckig mit abgerundeten Ecken 11">
          <a:extLst>
            <a:ext uri="{FF2B5EF4-FFF2-40B4-BE49-F238E27FC236}">
              <a16:creationId xmlns:a16="http://schemas.microsoft.com/office/drawing/2014/main" id="{4911121A-C90D-4823-9B9E-8F155A7F5D14}"/>
            </a:ext>
          </a:extLst>
        </xdr:cNvPr>
        <xdr:cNvSpPr/>
      </xdr:nvSpPr>
      <xdr:spPr>
        <a:xfrm>
          <a:off x="10570198" y="7850846"/>
          <a:ext cx="1580026" cy="616996"/>
        </a:xfrm>
        <a:prstGeom prst="wedgeRoundRectCallout">
          <a:avLst>
            <a:gd name="adj1" fmla="val -35391"/>
            <a:gd name="adj2" fmla="val -173509"/>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Numbers not public as of publication of this tool. Can be added later.</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16580</xdr:colOff>
      <xdr:row>6</xdr:row>
      <xdr:rowOff>296557</xdr:rowOff>
    </xdr:from>
    <xdr:to>
      <xdr:col>16</xdr:col>
      <xdr:colOff>112646</xdr:colOff>
      <xdr:row>21</xdr:row>
      <xdr:rowOff>295366</xdr:rowOff>
    </xdr:to>
    <xdr:graphicFrame macro="">
      <xdr:nvGraphicFramePr>
        <xdr:cNvPr id="2" name="Diagramm 1">
          <a:extLst>
            <a:ext uri="{FF2B5EF4-FFF2-40B4-BE49-F238E27FC236}">
              <a16:creationId xmlns:a16="http://schemas.microsoft.com/office/drawing/2014/main" id="{8D4231E0-03B6-F3CA-F0FB-39B693AC73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478593</xdr:colOff>
      <xdr:row>6</xdr:row>
      <xdr:rowOff>297918</xdr:rowOff>
    </xdr:from>
    <xdr:to>
      <xdr:col>25</xdr:col>
      <xdr:colOff>752130</xdr:colOff>
      <xdr:row>21</xdr:row>
      <xdr:rowOff>297388</xdr:rowOff>
    </xdr:to>
    <xdr:graphicFrame macro="">
      <xdr:nvGraphicFramePr>
        <xdr:cNvPr id="3" name="Diagramm 2">
          <a:extLst>
            <a:ext uri="{FF2B5EF4-FFF2-40B4-BE49-F238E27FC236}">
              <a16:creationId xmlns:a16="http://schemas.microsoft.com/office/drawing/2014/main" id="{294807FD-33C1-3D7F-E949-3E2CD79AF4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433908</xdr:colOff>
      <xdr:row>3</xdr:row>
      <xdr:rowOff>32098</xdr:rowOff>
    </xdr:from>
    <xdr:to>
      <xdr:col>23</xdr:col>
      <xdr:colOff>260582</xdr:colOff>
      <xdr:row>4</xdr:row>
      <xdr:rowOff>114596</xdr:rowOff>
    </xdr:to>
    <xdr:sp macro="" textlink="">
      <xdr:nvSpPr>
        <xdr:cNvPr id="4" name="Rechteck 3">
          <a:hlinkClick xmlns:r="http://schemas.openxmlformats.org/officeDocument/2006/relationships" r:id="rId3"/>
          <a:extLst>
            <a:ext uri="{FF2B5EF4-FFF2-40B4-BE49-F238E27FC236}">
              <a16:creationId xmlns:a16="http://schemas.microsoft.com/office/drawing/2014/main" id="{5F3E39A4-6D56-41E2-A977-BEE1616AEF03}"/>
            </a:ext>
          </a:extLst>
        </xdr:cNvPr>
        <xdr:cNvSpPr/>
      </xdr:nvSpPr>
      <xdr:spPr>
        <a:xfrm>
          <a:off x="16354265" y="780491"/>
          <a:ext cx="2711388" cy="395462"/>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5</xdr:col>
      <xdr:colOff>582697</xdr:colOff>
      <xdr:row>61</xdr:row>
      <xdr:rowOff>20040</xdr:rowOff>
    </xdr:from>
    <xdr:to>
      <xdr:col>7</xdr:col>
      <xdr:colOff>580304</xdr:colOff>
      <xdr:row>63</xdr:row>
      <xdr:rowOff>85230</xdr:rowOff>
    </xdr:to>
    <xdr:sp macro="" textlink="">
      <xdr:nvSpPr>
        <xdr:cNvPr id="5" name="Sprechblase: rechteckig mit abgerundeten Ecken 4">
          <a:extLst>
            <a:ext uri="{FF2B5EF4-FFF2-40B4-BE49-F238E27FC236}">
              <a16:creationId xmlns:a16="http://schemas.microsoft.com/office/drawing/2014/main" id="{4282EA5E-AB2C-40E5-8209-869FCBF1BF6B}"/>
            </a:ext>
          </a:extLst>
        </xdr:cNvPr>
        <xdr:cNvSpPr/>
      </xdr:nvSpPr>
      <xdr:spPr>
        <a:xfrm>
          <a:off x="4669788" y="15554449"/>
          <a:ext cx="1660152" cy="411554"/>
        </a:xfrm>
        <a:prstGeom prst="wedgeRoundRectCallout">
          <a:avLst>
            <a:gd name="adj1" fmla="val 46352"/>
            <a:gd name="adj2" fmla="val -233790"/>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To be adjusted with input in sheets 2 &amp; 3.</a:t>
          </a:r>
        </a:p>
      </xdr:txBody>
    </xdr:sp>
    <xdr:clientData/>
  </xdr:twoCellAnchor>
  <xdr:twoCellAnchor>
    <xdr:from>
      <xdr:col>21</xdr:col>
      <xdr:colOff>588819</xdr:colOff>
      <xdr:row>60</xdr:row>
      <xdr:rowOff>173181</xdr:rowOff>
    </xdr:from>
    <xdr:to>
      <xdr:col>23</xdr:col>
      <xdr:colOff>298492</xdr:colOff>
      <xdr:row>63</xdr:row>
      <xdr:rowOff>65190</xdr:rowOff>
    </xdr:to>
    <xdr:sp macro="" textlink="">
      <xdr:nvSpPr>
        <xdr:cNvPr id="9" name="Sprechblase: rechteckig mit abgerundeten Ecken 8">
          <a:extLst>
            <a:ext uri="{FF2B5EF4-FFF2-40B4-BE49-F238E27FC236}">
              <a16:creationId xmlns:a16="http://schemas.microsoft.com/office/drawing/2014/main" id="{A5CCA37A-2EFE-4853-BC0B-77D32FD6F65C}"/>
            </a:ext>
          </a:extLst>
        </xdr:cNvPr>
        <xdr:cNvSpPr/>
      </xdr:nvSpPr>
      <xdr:spPr>
        <a:xfrm>
          <a:off x="17491364" y="15534408"/>
          <a:ext cx="1372219" cy="411555"/>
        </a:xfrm>
        <a:prstGeom prst="wedgeRoundRectCallout">
          <a:avLst>
            <a:gd name="adj1" fmla="val 46352"/>
            <a:gd name="adj2" fmla="val -233790"/>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Negative values</a:t>
          </a:r>
          <a:r>
            <a:rPr lang="de-DE" sz="1000" b="0" baseline="0">
              <a:solidFill>
                <a:schemeClr val="tx1"/>
              </a:solidFill>
              <a:latin typeface="Arial" panose="020B0604020202020204" pitchFamily="34" charset="0"/>
              <a:ea typeface="+mn-ea"/>
              <a:cs typeface="Arial" panose="020B0604020202020204" pitchFamily="34" charset="0"/>
            </a:rPr>
            <a:t> indicate phase endings.</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editAs="oneCell">
    <xdr:from>
      <xdr:col>26</xdr:col>
      <xdr:colOff>287360</xdr:colOff>
      <xdr:row>6</xdr:row>
      <xdr:rowOff>296557</xdr:rowOff>
    </xdr:from>
    <xdr:to>
      <xdr:col>39</xdr:col>
      <xdr:colOff>514036</xdr:colOff>
      <xdr:row>21</xdr:row>
      <xdr:rowOff>295844</xdr:rowOff>
    </xdr:to>
    <xdr:pic>
      <xdr:nvPicPr>
        <xdr:cNvPr id="6" name="Grafik 5">
          <a:extLst>
            <a:ext uri="{FF2B5EF4-FFF2-40B4-BE49-F238E27FC236}">
              <a16:creationId xmlns:a16="http://schemas.microsoft.com/office/drawing/2014/main" id="{2AB73C61-D71A-4FCF-81BC-AAA5428C15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385235" y="1963432"/>
          <a:ext cx="11394739" cy="5547600"/>
        </a:xfrm>
        <a:prstGeom prst="rect">
          <a:avLst/>
        </a:prstGeom>
        <a:solidFill>
          <a:schemeClr val="bg1"/>
        </a:solidFill>
        <a:ln w="1905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4</xdr:col>
      <xdr:colOff>654565</xdr:colOff>
      <xdr:row>20</xdr:row>
      <xdr:rowOff>248143</xdr:rowOff>
    </xdr:from>
    <xdr:to>
      <xdr:col>6</xdr:col>
      <xdr:colOff>488673</xdr:colOff>
      <xdr:row>22</xdr:row>
      <xdr:rowOff>93889</xdr:rowOff>
    </xdr:to>
    <xdr:sp macro="" textlink="">
      <xdr:nvSpPr>
        <xdr:cNvPr id="7" name="Sprechblase: rechteckig mit abgerundeten Ecken 6">
          <a:extLst>
            <a:ext uri="{FF2B5EF4-FFF2-40B4-BE49-F238E27FC236}">
              <a16:creationId xmlns:a16="http://schemas.microsoft.com/office/drawing/2014/main" id="{52A5EA0F-92EA-4E18-9159-E5589B6E0EBB}"/>
            </a:ext>
          </a:extLst>
        </xdr:cNvPr>
        <xdr:cNvSpPr/>
      </xdr:nvSpPr>
      <xdr:spPr>
        <a:xfrm>
          <a:off x="3909630" y="7213817"/>
          <a:ext cx="1507195" cy="475224"/>
        </a:xfrm>
        <a:prstGeom prst="wedgeRoundRectCallout">
          <a:avLst>
            <a:gd name="adj1" fmla="val 67297"/>
            <a:gd name="adj2" fmla="val -238853"/>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See</a:t>
          </a:r>
          <a:r>
            <a:rPr lang="de-DE" sz="1000" b="0" baseline="0">
              <a:solidFill>
                <a:schemeClr val="tx1"/>
              </a:solidFill>
              <a:latin typeface="Arial" panose="020B0604020202020204" pitchFamily="34" charset="0"/>
              <a:ea typeface="+mn-ea"/>
              <a:cs typeface="Arial" panose="020B0604020202020204" pitchFamily="34" charset="0"/>
            </a:rPr>
            <a:t> scenario explanations on the right</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29534</xdr:colOff>
      <xdr:row>6</xdr:row>
      <xdr:rowOff>229089</xdr:rowOff>
    </xdr:from>
    <xdr:to>
      <xdr:col>16</xdr:col>
      <xdr:colOff>389444</xdr:colOff>
      <xdr:row>24</xdr:row>
      <xdr:rowOff>11086</xdr:rowOff>
    </xdr:to>
    <xdr:graphicFrame macro="">
      <xdr:nvGraphicFramePr>
        <xdr:cNvPr id="2" name="Diagramm 1">
          <a:extLst>
            <a:ext uri="{FF2B5EF4-FFF2-40B4-BE49-F238E27FC236}">
              <a16:creationId xmlns:a16="http://schemas.microsoft.com/office/drawing/2014/main" id="{D63F0952-05F8-A5E1-8F2D-D3C1EB20C6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813794</xdr:colOff>
      <xdr:row>6</xdr:row>
      <xdr:rowOff>229089</xdr:rowOff>
    </xdr:from>
    <xdr:to>
      <xdr:col>26</xdr:col>
      <xdr:colOff>336288</xdr:colOff>
      <xdr:row>24</xdr:row>
      <xdr:rowOff>9920</xdr:rowOff>
    </xdr:to>
    <xdr:graphicFrame macro="">
      <xdr:nvGraphicFramePr>
        <xdr:cNvPr id="3" name="Diagramm 2">
          <a:extLst>
            <a:ext uri="{FF2B5EF4-FFF2-40B4-BE49-F238E27FC236}">
              <a16:creationId xmlns:a16="http://schemas.microsoft.com/office/drawing/2014/main" id="{18B122BA-FD05-6089-A2D2-553BD5ECBA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384202</xdr:colOff>
      <xdr:row>3</xdr:row>
      <xdr:rowOff>33299</xdr:rowOff>
    </xdr:from>
    <xdr:to>
      <xdr:col>24</xdr:col>
      <xdr:colOff>556015</xdr:colOff>
      <xdr:row>5</xdr:row>
      <xdr:rowOff>111393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3F9F0450-724E-464A-AD11-F422DDCB6E28}"/>
            </a:ext>
          </a:extLst>
        </xdr:cNvPr>
        <xdr:cNvSpPr/>
      </xdr:nvSpPr>
      <xdr:spPr>
        <a:xfrm>
          <a:off x="17842166" y="604799"/>
          <a:ext cx="2702742" cy="404665"/>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6</xdr:col>
      <xdr:colOff>653143</xdr:colOff>
      <xdr:row>62</xdr:row>
      <xdr:rowOff>95251</xdr:rowOff>
    </xdr:from>
    <xdr:to>
      <xdr:col>8</xdr:col>
      <xdr:colOff>628730</xdr:colOff>
      <xdr:row>64</xdr:row>
      <xdr:rowOff>151658</xdr:rowOff>
    </xdr:to>
    <xdr:sp macro="" textlink="">
      <xdr:nvSpPr>
        <xdr:cNvPr id="6" name="Sprechblase: rechteckig mit abgerundeten Ecken 5">
          <a:extLst>
            <a:ext uri="{FF2B5EF4-FFF2-40B4-BE49-F238E27FC236}">
              <a16:creationId xmlns:a16="http://schemas.microsoft.com/office/drawing/2014/main" id="{E6CBCFFD-8835-4EAF-9408-F25BD69DBF40}"/>
            </a:ext>
          </a:extLst>
        </xdr:cNvPr>
        <xdr:cNvSpPr/>
      </xdr:nvSpPr>
      <xdr:spPr>
        <a:xfrm>
          <a:off x="5456464" y="15757072"/>
          <a:ext cx="1662873" cy="410193"/>
        </a:xfrm>
        <a:prstGeom prst="wedgeRoundRectCallout">
          <a:avLst>
            <a:gd name="adj1" fmla="val 46352"/>
            <a:gd name="adj2" fmla="val -233790"/>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To be adjusted with input in sheets 2 &amp; 3.</a:t>
          </a:r>
        </a:p>
      </xdr:txBody>
    </xdr:sp>
    <xdr:clientData/>
  </xdr:twoCellAnchor>
  <xdr:twoCellAnchor>
    <xdr:from>
      <xdr:col>1</xdr:col>
      <xdr:colOff>277585</xdr:colOff>
      <xdr:row>62</xdr:row>
      <xdr:rowOff>104775</xdr:rowOff>
    </xdr:from>
    <xdr:to>
      <xdr:col>3</xdr:col>
      <xdr:colOff>182418</xdr:colOff>
      <xdr:row>65</xdr:row>
      <xdr:rowOff>161924</xdr:rowOff>
    </xdr:to>
    <xdr:sp macro="" textlink="">
      <xdr:nvSpPr>
        <xdr:cNvPr id="7" name="Sprechblase: rechteckig mit abgerundeten Ecken 6">
          <a:extLst>
            <a:ext uri="{FF2B5EF4-FFF2-40B4-BE49-F238E27FC236}">
              <a16:creationId xmlns:a16="http://schemas.microsoft.com/office/drawing/2014/main" id="{AC7B48C1-E247-47D3-AA5A-7E439CCF3031}"/>
            </a:ext>
          </a:extLst>
        </xdr:cNvPr>
        <xdr:cNvSpPr/>
      </xdr:nvSpPr>
      <xdr:spPr>
        <a:xfrm>
          <a:off x="440871" y="15766596"/>
          <a:ext cx="1646547" cy="587828"/>
        </a:xfrm>
        <a:prstGeom prst="wedgeRoundRectCallout">
          <a:avLst>
            <a:gd name="adj1" fmla="val 25659"/>
            <a:gd name="adj2" fmla="val -184617"/>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de-DE" sz="1000" b="0">
              <a:solidFill>
                <a:schemeClr val="tx1"/>
              </a:solidFill>
              <a:latin typeface="Arial" panose="020B0604020202020204" pitchFamily="34" charset="0"/>
              <a:ea typeface="+mn-ea"/>
              <a:cs typeface="Arial" panose="020B0604020202020204" pitchFamily="34" charset="0"/>
            </a:rPr>
            <a:t>Current growth rate column shows baseline without new industries</a:t>
          </a:r>
          <a:r>
            <a:rPr lang="de-DE" sz="1000" b="0" baseline="0">
              <a:solidFill>
                <a:schemeClr val="tx1"/>
              </a:solidFill>
              <a:latin typeface="Arial" panose="020B0604020202020204" pitchFamily="34" charset="0"/>
              <a:ea typeface="+mn-ea"/>
              <a:cs typeface="Arial" panose="020B0604020202020204" pitchFamily="34" charset="0"/>
            </a:rPr>
            <a:t> - for validation.</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editAs="oneCell">
    <xdr:from>
      <xdr:col>26</xdr:col>
      <xdr:colOff>761999</xdr:colOff>
      <xdr:row>6</xdr:row>
      <xdr:rowOff>229089</xdr:rowOff>
    </xdr:from>
    <xdr:to>
      <xdr:col>43</xdr:col>
      <xdr:colOff>201419</xdr:colOff>
      <xdr:row>24</xdr:row>
      <xdr:rowOff>25335</xdr:rowOff>
    </xdr:to>
    <xdr:pic>
      <xdr:nvPicPr>
        <xdr:cNvPr id="5" name="Grafik 4">
          <a:extLst>
            <a:ext uri="{FF2B5EF4-FFF2-40B4-BE49-F238E27FC236}">
              <a16:creationId xmlns:a16="http://schemas.microsoft.com/office/drawing/2014/main" id="{3A59EC3A-5A26-4EF5-8E57-4BD252FA58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217062" y="1300652"/>
          <a:ext cx="13607857" cy="6654246"/>
        </a:xfrm>
        <a:prstGeom prst="rect">
          <a:avLst/>
        </a:prstGeom>
        <a:solidFill>
          <a:schemeClr val="bg1"/>
        </a:solidFill>
        <a:ln w="19050"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22</xdr:col>
      <xdr:colOff>115473</xdr:colOff>
      <xdr:row>5</xdr:row>
      <xdr:rowOff>257290</xdr:rowOff>
    </xdr:from>
    <xdr:to>
      <xdr:col>29</xdr:col>
      <xdr:colOff>505658</xdr:colOff>
      <xdr:row>25</xdr:row>
      <xdr:rowOff>7967</xdr:rowOff>
    </xdr:to>
    <xdr:graphicFrame macro="">
      <xdr:nvGraphicFramePr>
        <xdr:cNvPr id="2" name="Diagramm 1">
          <a:extLst>
            <a:ext uri="{FF2B5EF4-FFF2-40B4-BE49-F238E27FC236}">
              <a16:creationId xmlns:a16="http://schemas.microsoft.com/office/drawing/2014/main" id="{DED0F026-C7A0-8FA4-399D-A35BD6CBEE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645168</xdr:colOff>
      <xdr:row>5</xdr:row>
      <xdr:rowOff>257290</xdr:rowOff>
    </xdr:from>
    <xdr:to>
      <xdr:col>21</xdr:col>
      <xdr:colOff>552413</xdr:colOff>
      <xdr:row>25</xdr:row>
      <xdr:rowOff>7967</xdr:rowOff>
    </xdr:to>
    <xdr:graphicFrame macro="">
      <xdr:nvGraphicFramePr>
        <xdr:cNvPr id="3" name="Diagramm 2">
          <a:extLst>
            <a:ext uri="{FF2B5EF4-FFF2-40B4-BE49-F238E27FC236}">
              <a16:creationId xmlns:a16="http://schemas.microsoft.com/office/drawing/2014/main" id="{EC0EBBBE-3F65-6ED1-648F-8194292976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68490</xdr:colOff>
      <xdr:row>5</xdr:row>
      <xdr:rowOff>255929</xdr:rowOff>
    </xdr:from>
    <xdr:to>
      <xdr:col>14</xdr:col>
      <xdr:colOff>245949</xdr:colOff>
      <xdr:row>25</xdr:row>
      <xdr:rowOff>9328</xdr:rowOff>
    </xdr:to>
    <xdr:graphicFrame macro="">
      <xdr:nvGraphicFramePr>
        <xdr:cNvPr id="4" name="Diagramm 3">
          <a:extLst>
            <a:ext uri="{FF2B5EF4-FFF2-40B4-BE49-F238E27FC236}">
              <a16:creationId xmlns:a16="http://schemas.microsoft.com/office/drawing/2014/main" id="{E3FBAA73-994D-4F1B-19A4-29A6E7FE2B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301171</xdr:colOff>
      <xdr:row>2</xdr:row>
      <xdr:rowOff>323397</xdr:rowOff>
    </xdr:from>
    <xdr:to>
      <xdr:col>23</xdr:col>
      <xdr:colOff>466103</xdr:colOff>
      <xdr:row>5</xdr:row>
      <xdr:rowOff>28549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BD82249F-A71A-4BA9-85EB-D53A1938FEB1}"/>
            </a:ext>
          </a:extLst>
        </xdr:cNvPr>
        <xdr:cNvSpPr/>
      </xdr:nvSpPr>
      <xdr:spPr>
        <a:xfrm>
          <a:off x="17881600" y="718004"/>
          <a:ext cx="2695860" cy="385509"/>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13</xdr:col>
      <xdr:colOff>438398</xdr:colOff>
      <xdr:row>61</xdr:row>
      <xdr:rowOff>106631</xdr:rowOff>
    </xdr:from>
    <xdr:to>
      <xdr:col>15</xdr:col>
      <xdr:colOff>353157</xdr:colOff>
      <xdr:row>63</xdr:row>
      <xdr:rowOff>103592</xdr:rowOff>
    </xdr:to>
    <xdr:sp macro="" textlink="">
      <xdr:nvSpPr>
        <xdr:cNvPr id="8" name="Sprechblase: rechteckig mit abgerundeten Ecken 7">
          <a:extLst>
            <a:ext uri="{FF2B5EF4-FFF2-40B4-BE49-F238E27FC236}">
              <a16:creationId xmlns:a16="http://schemas.microsoft.com/office/drawing/2014/main" id="{DCA710FA-117A-4A69-95B8-21ED26929F44}"/>
            </a:ext>
          </a:extLst>
        </xdr:cNvPr>
        <xdr:cNvSpPr/>
      </xdr:nvSpPr>
      <xdr:spPr>
        <a:xfrm>
          <a:off x="11520528" y="16034088"/>
          <a:ext cx="1587846" cy="808656"/>
        </a:xfrm>
        <a:prstGeom prst="wedgeRoundRectCallout">
          <a:avLst>
            <a:gd name="adj1" fmla="val -41651"/>
            <a:gd name="adj2" fmla="val -168388"/>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latin typeface="Arial" panose="020B0604020202020204" pitchFamily="34" charset="0"/>
              <a:ea typeface="+mn-ea"/>
              <a:cs typeface="Arial" panose="020B0604020202020204" pitchFamily="34" charset="0"/>
            </a:rPr>
            <a:t>Numbers not public as of publication of this tool. Can be added</a:t>
          </a:r>
          <a:r>
            <a:rPr lang="en-US" sz="1000" b="0" baseline="0">
              <a:solidFill>
                <a:schemeClr val="tx1"/>
              </a:solidFill>
              <a:latin typeface="Arial" panose="020B0604020202020204" pitchFamily="34" charset="0"/>
              <a:ea typeface="+mn-ea"/>
              <a:cs typeface="Arial" panose="020B0604020202020204" pitchFamily="34" charset="0"/>
            </a:rPr>
            <a:t> with input in sheet 3</a:t>
          </a:r>
          <a:r>
            <a:rPr lang="en-US" sz="1000" b="0">
              <a:solidFill>
                <a:schemeClr val="tx1"/>
              </a:solidFill>
              <a:latin typeface="Arial" panose="020B0604020202020204" pitchFamily="34" charset="0"/>
              <a:ea typeface="+mn-ea"/>
              <a:cs typeface="Arial" panose="020B0604020202020204" pitchFamily="34" charset="0"/>
            </a:rPr>
            <a:t> later.</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editAs="oneCell">
    <xdr:from>
      <xdr:col>30</xdr:col>
      <xdr:colOff>67357</xdr:colOff>
      <xdr:row>5</xdr:row>
      <xdr:rowOff>255929</xdr:rowOff>
    </xdr:from>
    <xdr:to>
      <xdr:col>47</xdr:col>
      <xdr:colOff>477711</xdr:colOff>
      <xdr:row>24</xdr:row>
      <xdr:rowOff>331716</xdr:rowOff>
    </xdr:to>
    <xdr:pic>
      <xdr:nvPicPr>
        <xdr:cNvPr id="5" name="Grafik 4">
          <a:extLst>
            <a:ext uri="{FF2B5EF4-FFF2-40B4-BE49-F238E27FC236}">
              <a16:creationId xmlns:a16="http://schemas.microsoft.com/office/drawing/2014/main" id="{808375F9-4DBD-426F-8F6A-765621AA3A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808670" y="1351304"/>
          <a:ext cx="14578791" cy="7100475"/>
        </a:xfrm>
        <a:prstGeom prst="rect">
          <a:avLst/>
        </a:prstGeom>
        <a:solidFill>
          <a:schemeClr val="bg1"/>
        </a:solidFill>
        <a:ln w="19050"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295628</xdr:colOff>
      <xdr:row>6</xdr:row>
      <xdr:rowOff>10336</xdr:rowOff>
    </xdr:from>
    <xdr:to>
      <xdr:col>26</xdr:col>
      <xdr:colOff>170519</xdr:colOff>
      <xdr:row>19</xdr:row>
      <xdr:rowOff>218450</xdr:rowOff>
    </xdr:to>
    <xdr:graphicFrame macro="">
      <xdr:nvGraphicFramePr>
        <xdr:cNvPr id="3" name="Diagramm 2">
          <a:extLst>
            <a:ext uri="{FF2B5EF4-FFF2-40B4-BE49-F238E27FC236}">
              <a16:creationId xmlns:a16="http://schemas.microsoft.com/office/drawing/2014/main" id="{B2EB21B3-E51E-4606-858B-E90545C1E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7615</xdr:rowOff>
    </xdr:from>
    <xdr:to>
      <xdr:col>8</xdr:col>
      <xdr:colOff>18901</xdr:colOff>
      <xdr:row>17</xdr:row>
      <xdr:rowOff>38100</xdr:rowOff>
    </xdr:to>
    <xdr:graphicFrame macro="">
      <xdr:nvGraphicFramePr>
        <xdr:cNvPr id="4" name="Diagramm 3">
          <a:extLst>
            <a:ext uri="{FF2B5EF4-FFF2-40B4-BE49-F238E27FC236}">
              <a16:creationId xmlns:a16="http://schemas.microsoft.com/office/drawing/2014/main" id="{DF51883E-1BC6-2553-1273-94FC48006E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322150</xdr:colOff>
      <xdr:row>6</xdr:row>
      <xdr:rowOff>7615</xdr:rowOff>
    </xdr:from>
    <xdr:to>
      <xdr:col>15</xdr:col>
      <xdr:colOff>631712</xdr:colOff>
      <xdr:row>17</xdr:row>
      <xdr:rowOff>88445</xdr:rowOff>
    </xdr:to>
    <xdr:graphicFrame macro="">
      <xdr:nvGraphicFramePr>
        <xdr:cNvPr id="5" name="Diagramm 4">
          <a:extLst>
            <a:ext uri="{FF2B5EF4-FFF2-40B4-BE49-F238E27FC236}">
              <a16:creationId xmlns:a16="http://schemas.microsoft.com/office/drawing/2014/main" id="{12851229-5767-5ECD-3568-859744B860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17</xdr:row>
      <xdr:rowOff>182335</xdr:rowOff>
    </xdr:from>
    <xdr:to>
      <xdr:col>8</xdr:col>
      <xdr:colOff>16329</xdr:colOff>
      <xdr:row>28</xdr:row>
      <xdr:rowOff>114299</xdr:rowOff>
    </xdr:to>
    <xdr:graphicFrame macro="">
      <xdr:nvGraphicFramePr>
        <xdr:cNvPr id="2" name="Diagramm 1">
          <a:extLst>
            <a:ext uri="{FF2B5EF4-FFF2-40B4-BE49-F238E27FC236}">
              <a16:creationId xmlns:a16="http://schemas.microsoft.com/office/drawing/2014/main" id="{B90FABD6-ED94-4692-BD8E-7E0008E2C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243418</xdr:colOff>
      <xdr:row>3</xdr:row>
      <xdr:rowOff>0</xdr:rowOff>
    </xdr:from>
    <xdr:to>
      <xdr:col>22</xdr:col>
      <xdr:colOff>431027</xdr:colOff>
      <xdr:row>5</xdr:row>
      <xdr:rowOff>38527</xdr:rowOff>
    </xdr:to>
    <xdr:sp macro="" textlink="">
      <xdr:nvSpPr>
        <xdr:cNvPr id="6" name="Rechteck 5">
          <a:hlinkClick xmlns:r="http://schemas.openxmlformats.org/officeDocument/2006/relationships" r:id="rId5"/>
          <a:extLst>
            <a:ext uri="{FF2B5EF4-FFF2-40B4-BE49-F238E27FC236}">
              <a16:creationId xmlns:a16="http://schemas.microsoft.com/office/drawing/2014/main" id="{1E667C41-74BB-407F-8653-C06E87E109BF}"/>
            </a:ext>
          </a:extLst>
        </xdr:cNvPr>
        <xdr:cNvSpPr/>
      </xdr:nvSpPr>
      <xdr:spPr>
        <a:xfrm>
          <a:off x="16975668" y="529167"/>
          <a:ext cx="2695859" cy="39836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1</xdr:col>
      <xdr:colOff>0</xdr:colOff>
      <xdr:row>6</xdr:row>
      <xdr:rowOff>7615</xdr:rowOff>
    </xdr:from>
    <xdr:to>
      <xdr:col>8</xdr:col>
      <xdr:colOff>18901</xdr:colOff>
      <xdr:row>17</xdr:row>
      <xdr:rowOff>31297</xdr:rowOff>
    </xdr:to>
    <xdr:graphicFrame macro="">
      <xdr:nvGraphicFramePr>
        <xdr:cNvPr id="7" name="Diagramm 6">
          <a:extLst>
            <a:ext uri="{FF2B5EF4-FFF2-40B4-BE49-F238E27FC236}">
              <a16:creationId xmlns:a16="http://schemas.microsoft.com/office/drawing/2014/main" id="{B6A95EDF-1EAD-D353-B806-050FB7B8D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429407</xdr:colOff>
      <xdr:row>6</xdr:row>
      <xdr:rowOff>10336</xdr:rowOff>
    </xdr:from>
    <xdr:to>
      <xdr:col>15</xdr:col>
      <xdr:colOff>733527</xdr:colOff>
      <xdr:row>17</xdr:row>
      <xdr:rowOff>78920</xdr:rowOff>
    </xdr:to>
    <xdr:graphicFrame macro="">
      <xdr:nvGraphicFramePr>
        <xdr:cNvPr id="8" name="Diagramm 7">
          <a:extLst>
            <a:ext uri="{FF2B5EF4-FFF2-40B4-BE49-F238E27FC236}">
              <a16:creationId xmlns:a16="http://schemas.microsoft.com/office/drawing/2014/main" id="{40B7B7C1-0EAA-97E7-81A8-5B0175EE25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17</xdr:row>
      <xdr:rowOff>224517</xdr:rowOff>
    </xdr:from>
    <xdr:to>
      <xdr:col>8</xdr:col>
      <xdr:colOff>19050</xdr:colOff>
      <xdr:row>28</xdr:row>
      <xdr:rowOff>155120</xdr:rowOff>
    </xdr:to>
    <xdr:graphicFrame macro="">
      <xdr:nvGraphicFramePr>
        <xdr:cNvPr id="9" name="Diagramm 8">
          <a:extLst>
            <a:ext uri="{FF2B5EF4-FFF2-40B4-BE49-F238E27FC236}">
              <a16:creationId xmlns:a16="http://schemas.microsoft.com/office/drawing/2014/main" id="{0B14F8C2-BDAC-CE53-F072-3616B02BB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258537</xdr:colOff>
      <xdr:row>24</xdr:row>
      <xdr:rowOff>114300</xdr:rowOff>
    </xdr:from>
    <xdr:to>
      <xdr:col>19</xdr:col>
      <xdr:colOff>436790</xdr:colOff>
      <xdr:row>25</xdr:row>
      <xdr:rowOff>286342</xdr:rowOff>
    </xdr:to>
    <xdr:sp macro="" textlink="">
      <xdr:nvSpPr>
        <xdr:cNvPr id="10" name="Sprechblase: rechteckig mit abgerundeten Ecken 9">
          <a:extLst>
            <a:ext uri="{FF2B5EF4-FFF2-40B4-BE49-F238E27FC236}">
              <a16:creationId xmlns:a16="http://schemas.microsoft.com/office/drawing/2014/main" id="{BBCA3150-8571-4D60-8377-B6E278D79931}"/>
            </a:ext>
          </a:extLst>
        </xdr:cNvPr>
        <xdr:cNvSpPr/>
      </xdr:nvSpPr>
      <xdr:spPr>
        <a:xfrm>
          <a:off x="15327087" y="9239250"/>
          <a:ext cx="1854653" cy="619717"/>
        </a:xfrm>
        <a:prstGeom prst="wedgeRoundRectCallout">
          <a:avLst>
            <a:gd name="adj1" fmla="val -95479"/>
            <a:gd name="adj2" fmla="val -104344"/>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a:solidFill>
                <a:schemeClr val="tx1"/>
              </a:solidFill>
              <a:effectLst/>
              <a:latin typeface="Arial" panose="020B0604020202020204" pitchFamily="34" charset="0"/>
              <a:ea typeface="+mn-ea"/>
              <a:cs typeface="Arial" panose="020B0604020202020204" pitchFamily="34" charset="0"/>
            </a:rPr>
            <a:t>Summary table shows key years—use for quick overviews of demands and deficits.</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editAs="oneCell">
    <xdr:from>
      <xdr:col>26</xdr:col>
      <xdr:colOff>571500</xdr:colOff>
      <xdr:row>6</xdr:row>
      <xdr:rowOff>7615</xdr:rowOff>
    </xdr:from>
    <xdr:to>
      <xdr:col>39</xdr:col>
      <xdr:colOff>122481</xdr:colOff>
      <xdr:row>17</xdr:row>
      <xdr:rowOff>108306</xdr:rowOff>
    </xdr:to>
    <xdr:pic>
      <xdr:nvPicPr>
        <xdr:cNvPr id="11" name="Grafik 10">
          <a:extLst>
            <a:ext uri="{FF2B5EF4-FFF2-40B4-BE49-F238E27FC236}">
              <a16:creationId xmlns:a16="http://schemas.microsoft.com/office/drawing/2014/main" id="{B9A8683C-EF93-4125-BB23-B29D76F2F5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360063" y="1102990"/>
          <a:ext cx="10385668" cy="5077504"/>
        </a:xfrm>
        <a:prstGeom prst="rect">
          <a:avLst/>
        </a:prstGeom>
        <a:solidFill>
          <a:schemeClr val="bg1"/>
        </a:solidFill>
        <a:ln w="19050"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407209</xdr:colOff>
      <xdr:row>3</xdr:row>
      <xdr:rowOff>93830</xdr:rowOff>
    </xdr:from>
    <xdr:to>
      <xdr:col>11</xdr:col>
      <xdr:colOff>1383007</xdr:colOff>
      <xdr:row>4</xdr:row>
      <xdr:rowOff>186743</xdr:rowOff>
    </xdr:to>
    <xdr:sp macro="" textlink="">
      <xdr:nvSpPr>
        <xdr:cNvPr id="2" name="Rechteck 1">
          <a:hlinkClick xmlns:r="http://schemas.openxmlformats.org/officeDocument/2006/relationships" r:id="rId1"/>
          <a:extLst>
            <a:ext uri="{FF2B5EF4-FFF2-40B4-BE49-F238E27FC236}">
              <a16:creationId xmlns:a16="http://schemas.microsoft.com/office/drawing/2014/main" id="{9C555782-104F-4C3E-B5A9-E7BC5CCF0905}"/>
            </a:ext>
          </a:extLst>
        </xdr:cNvPr>
        <xdr:cNvSpPr/>
      </xdr:nvSpPr>
      <xdr:spPr>
        <a:xfrm>
          <a:off x="13383621" y="811006"/>
          <a:ext cx="2701504" cy="38426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000" b="1">
              <a:solidFill>
                <a:schemeClr val="lt1"/>
              </a:solidFill>
              <a:latin typeface="+mn-lt"/>
              <a:ea typeface="+mn-ea"/>
              <a:cs typeface="+mn-cs"/>
            </a:rPr>
            <a:t>Go to sheet 1: Explanation and Instructions</a:t>
          </a:r>
        </a:p>
      </xdr:txBody>
    </xdr:sp>
    <xdr:clientData/>
  </xdr:twoCellAnchor>
  <xdr:twoCellAnchor>
    <xdr:from>
      <xdr:col>2</xdr:col>
      <xdr:colOff>1636060</xdr:colOff>
      <xdr:row>13</xdr:row>
      <xdr:rowOff>239405</xdr:rowOff>
    </xdr:from>
    <xdr:to>
      <xdr:col>3</xdr:col>
      <xdr:colOff>706291</xdr:colOff>
      <xdr:row>15</xdr:row>
      <xdr:rowOff>141146</xdr:rowOff>
    </xdr:to>
    <xdr:sp macro="" textlink="">
      <xdr:nvSpPr>
        <xdr:cNvPr id="3" name="Sprechblase: rechteckig mit abgerundeten Ecken 2">
          <a:extLst>
            <a:ext uri="{FF2B5EF4-FFF2-40B4-BE49-F238E27FC236}">
              <a16:creationId xmlns:a16="http://schemas.microsoft.com/office/drawing/2014/main" id="{8F1104BA-48D2-47AF-B63A-9274C668175B}"/>
            </a:ext>
          </a:extLst>
        </xdr:cNvPr>
        <xdr:cNvSpPr/>
      </xdr:nvSpPr>
      <xdr:spPr>
        <a:xfrm>
          <a:off x="2263589" y="3780464"/>
          <a:ext cx="1860496" cy="618917"/>
        </a:xfrm>
        <a:prstGeom prst="wedgeRoundRectCallout">
          <a:avLst>
            <a:gd name="adj1" fmla="val -5735"/>
            <a:gd name="adj2" fmla="val -124260"/>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a:solidFill>
                <a:schemeClr val="tx1"/>
              </a:solidFill>
              <a:effectLst/>
              <a:latin typeface="Arial" panose="020B0604020202020204" pitchFamily="34" charset="0"/>
              <a:ea typeface="+mn-ea"/>
              <a:cs typeface="Arial" panose="020B0604020202020204" pitchFamily="34" charset="0"/>
            </a:rPr>
            <a:t>Growth</a:t>
          </a:r>
          <a:r>
            <a:rPr lang="en-US" sz="1000" baseline="0">
              <a:solidFill>
                <a:schemeClr val="tx1"/>
              </a:solidFill>
              <a:effectLst/>
              <a:latin typeface="Arial" panose="020B0604020202020204" pitchFamily="34" charset="0"/>
              <a:ea typeface="+mn-ea"/>
              <a:cs typeface="Arial" panose="020B0604020202020204" pitchFamily="34" charset="0"/>
            </a:rPr>
            <a:t> rate is significantly lower, when compared to Lüderitz.</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601036</xdr:colOff>
      <xdr:row>9</xdr:row>
      <xdr:rowOff>121903</xdr:rowOff>
    </xdr:from>
    <xdr:to>
      <xdr:col>15</xdr:col>
      <xdr:colOff>742629</xdr:colOff>
      <xdr:row>11</xdr:row>
      <xdr:rowOff>345574</xdr:rowOff>
    </xdr:to>
    <xdr:sp macro="" textlink="">
      <xdr:nvSpPr>
        <xdr:cNvPr id="4" name="Sprechblase: rechteckig mit abgerundeten Ecken 3">
          <a:extLst>
            <a:ext uri="{FF2B5EF4-FFF2-40B4-BE49-F238E27FC236}">
              <a16:creationId xmlns:a16="http://schemas.microsoft.com/office/drawing/2014/main" id="{F1CE23FE-86B7-44D8-85E6-C3DC586AF827}"/>
            </a:ext>
          </a:extLst>
        </xdr:cNvPr>
        <xdr:cNvSpPr/>
      </xdr:nvSpPr>
      <xdr:spPr>
        <a:xfrm>
          <a:off x="19292448" y="2542374"/>
          <a:ext cx="1867299" cy="627082"/>
        </a:xfrm>
        <a:prstGeom prst="wedgeRoundRectCallout">
          <a:avLst>
            <a:gd name="adj1" fmla="val -72948"/>
            <a:gd name="adj2" fmla="val -47419"/>
            <a:gd name="adj3" fmla="val 16667"/>
          </a:avLst>
        </a:prstGeom>
        <a:solidFill>
          <a:schemeClr val="accent6">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000" b="0">
              <a:solidFill>
                <a:schemeClr val="tx1"/>
              </a:solidFill>
              <a:effectLst/>
              <a:latin typeface="Arial" panose="020B0604020202020204" pitchFamily="34" charset="0"/>
              <a:ea typeface="+mn-ea"/>
              <a:cs typeface="Arial" panose="020B0604020202020204" pitchFamily="34" charset="0"/>
            </a:rPr>
            <a:t>Percentages</a:t>
          </a:r>
          <a:r>
            <a:rPr lang="en-US" sz="1000" b="0" baseline="0">
              <a:solidFill>
                <a:schemeClr val="tx1"/>
              </a:solidFill>
              <a:effectLst/>
              <a:latin typeface="Arial" panose="020B0604020202020204" pitchFamily="34" charset="0"/>
              <a:ea typeface="+mn-ea"/>
              <a:cs typeface="Arial" panose="020B0604020202020204" pitchFamily="34" charset="0"/>
            </a:rPr>
            <a:t> estimate workforce spillover - different values can be tested.</a:t>
          </a:r>
          <a:endParaRPr lang="de-DE" sz="1000" b="0">
            <a:solidFill>
              <a:schemeClr val="tx1"/>
            </a:solidFill>
            <a:latin typeface="Arial" panose="020B0604020202020204" pitchFamily="34" charset="0"/>
            <a:ea typeface="+mn-ea"/>
            <a:cs typeface="Arial" panose="020B06040202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kaitlyn.carter@dechema.d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3F558-D011-4346-B932-E122843AB966}">
  <sheetPr codeName="Tabelle1"/>
  <dimension ref="B2:X21"/>
  <sheetViews>
    <sheetView zoomScale="120" zoomScaleNormal="120" workbookViewId="0">
      <selection activeCell="M6" sqref="M6"/>
    </sheetView>
  </sheetViews>
  <sheetFormatPr baseColWidth="10" defaultColWidth="11" defaultRowHeight="14.25" x14ac:dyDescent="0.2"/>
  <cols>
    <col min="1" max="1" width="2.625" style="20" customWidth="1"/>
    <col min="2" max="2" width="3.375" style="20" customWidth="1"/>
    <col min="3" max="6" width="11" style="20"/>
    <col min="7" max="8" width="2.625" style="20" customWidth="1"/>
    <col min="9" max="9" width="8.375" style="20" bestFit="1" customWidth="1"/>
    <col min="10" max="12" width="11" style="20"/>
    <col min="13" max="13" width="11" style="20" customWidth="1"/>
    <col min="14" max="16" width="2.625" style="20" customWidth="1"/>
    <col min="17" max="20" width="11" style="20"/>
    <col min="21" max="24" width="2.625" style="20" customWidth="1"/>
    <col min="25" max="16384" width="11" style="20"/>
  </cols>
  <sheetData>
    <row r="2" spans="2:24" s="27" customFormat="1" ht="23.45" customHeight="1" x14ac:dyDescent="0.2">
      <c r="C2" s="2" t="s">
        <v>266</v>
      </c>
    </row>
    <row r="4" spans="2:24" x14ac:dyDescent="0.2">
      <c r="B4" s="16"/>
      <c r="C4" s="17"/>
      <c r="D4" s="17"/>
      <c r="E4" s="17"/>
      <c r="F4" s="17"/>
      <c r="G4" s="17"/>
      <c r="H4" s="17"/>
      <c r="I4" s="17"/>
      <c r="J4" s="17"/>
      <c r="K4" s="17"/>
      <c r="L4" s="17"/>
      <c r="M4" s="17"/>
      <c r="N4" s="17"/>
      <c r="O4" s="17"/>
      <c r="P4" s="17"/>
      <c r="Q4" s="17"/>
      <c r="R4" s="17"/>
      <c r="S4" s="17"/>
      <c r="T4" s="17"/>
      <c r="U4" s="17"/>
      <c r="V4" s="17"/>
      <c r="W4" s="17"/>
      <c r="X4" s="18"/>
    </row>
    <row r="5" spans="2:24" x14ac:dyDescent="0.2">
      <c r="B5" s="19"/>
      <c r="X5" s="21"/>
    </row>
    <row r="6" spans="2:24" x14ac:dyDescent="0.2">
      <c r="B6" s="19"/>
      <c r="X6" s="21"/>
    </row>
    <row r="7" spans="2:24" x14ac:dyDescent="0.2">
      <c r="B7" s="19"/>
      <c r="X7" s="21"/>
    </row>
    <row r="8" spans="2:24" x14ac:dyDescent="0.2">
      <c r="B8" s="19"/>
      <c r="X8" s="21"/>
    </row>
    <row r="9" spans="2:24" x14ac:dyDescent="0.2">
      <c r="B9" s="19"/>
      <c r="X9" s="21"/>
    </row>
    <row r="10" spans="2:24" x14ac:dyDescent="0.2">
      <c r="B10" s="6"/>
      <c r="C10" s="7"/>
      <c r="D10" s="7"/>
      <c r="E10" s="7"/>
      <c r="F10" s="7"/>
      <c r="G10" s="7"/>
      <c r="H10" s="7"/>
      <c r="I10" s="7"/>
      <c r="J10" s="7"/>
      <c r="K10" s="7"/>
      <c r="L10" s="7"/>
      <c r="M10" s="7"/>
      <c r="N10" s="7"/>
      <c r="O10" s="7"/>
      <c r="P10" s="7"/>
      <c r="Q10" s="7"/>
      <c r="R10" s="7"/>
      <c r="S10" s="7"/>
      <c r="T10" s="7"/>
      <c r="U10" s="7"/>
      <c r="V10" s="7"/>
      <c r="W10" s="7"/>
      <c r="X10" s="8"/>
    </row>
    <row r="11" spans="2:24" ht="15" x14ac:dyDescent="0.25">
      <c r="B11" s="6"/>
      <c r="C11" s="10" t="s">
        <v>327</v>
      </c>
      <c r="D11" s="7"/>
      <c r="E11" s="7"/>
      <c r="F11" s="7"/>
      <c r="G11" s="7"/>
      <c r="H11" s="7"/>
      <c r="I11" s="7"/>
      <c r="J11" s="7"/>
      <c r="K11" s="7"/>
      <c r="L11" s="7"/>
      <c r="M11" s="7"/>
      <c r="N11" s="7"/>
      <c r="O11" s="7"/>
      <c r="P11" s="7"/>
      <c r="Q11" s="7"/>
      <c r="R11" s="7"/>
      <c r="S11" s="7"/>
      <c r="T11" s="7"/>
      <c r="U11" s="7"/>
      <c r="V11" s="7"/>
      <c r="W11" s="7"/>
      <c r="X11" s="8"/>
    </row>
    <row r="12" spans="2:24" x14ac:dyDescent="0.2">
      <c r="B12" s="6"/>
      <c r="C12" s="7"/>
      <c r="D12" s="7"/>
      <c r="E12" s="7"/>
      <c r="F12" s="7"/>
      <c r="G12" s="7"/>
      <c r="H12" s="7"/>
      <c r="I12" s="7"/>
      <c r="J12" s="7"/>
      <c r="K12" s="7"/>
      <c r="L12" s="7"/>
      <c r="M12" s="7"/>
      <c r="N12" s="7"/>
      <c r="O12" s="7"/>
      <c r="P12" s="7"/>
      <c r="Q12" s="7"/>
      <c r="R12" s="7"/>
      <c r="S12" s="7"/>
      <c r="T12" s="7"/>
      <c r="U12" s="7"/>
      <c r="V12" s="7"/>
      <c r="W12" s="7"/>
      <c r="X12" s="8"/>
    </row>
    <row r="13" spans="2:24" x14ac:dyDescent="0.2">
      <c r="B13" s="6"/>
      <c r="C13" s="53" t="s">
        <v>239</v>
      </c>
      <c r="D13" s="11" t="s">
        <v>293</v>
      </c>
      <c r="E13" s="11"/>
      <c r="F13" s="11"/>
      <c r="G13" s="11"/>
      <c r="H13" s="11"/>
      <c r="I13" s="53" t="s">
        <v>298</v>
      </c>
      <c r="J13" s="11" t="s">
        <v>297</v>
      </c>
      <c r="K13" s="11"/>
      <c r="L13" s="11"/>
      <c r="M13" s="11"/>
      <c r="N13" s="11"/>
      <c r="O13" s="11"/>
      <c r="P13" s="11"/>
      <c r="Q13" s="11"/>
      <c r="R13" s="11"/>
      <c r="S13" s="11"/>
      <c r="T13" s="11"/>
      <c r="U13" s="11"/>
      <c r="V13" s="11"/>
      <c r="W13" s="11"/>
      <c r="X13" s="12"/>
    </row>
    <row r="14" spans="2:24" x14ac:dyDescent="0.2">
      <c r="B14" s="6"/>
      <c r="C14" s="11"/>
      <c r="D14" s="11" t="s">
        <v>329</v>
      </c>
      <c r="E14" s="11"/>
      <c r="F14" s="11"/>
      <c r="G14" s="11"/>
      <c r="H14" s="11"/>
      <c r="I14" s="11"/>
      <c r="J14" s="11"/>
      <c r="K14" s="11"/>
      <c r="L14" s="11"/>
      <c r="M14" s="11"/>
      <c r="N14" s="11"/>
      <c r="O14" s="11"/>
      <c r="P14" s="11"/>
      <c r="Q14" s="11"/>
      <c r="R14" s="11"/>
      <c r="S14" s="11"/>
      <c r="T14" s="11"/>
      <c r="U14" s="11"/>
      <c r="V14" s="11"/>
      <c r="W14" s="11"/>
      <c r="X14" s="12"/>
    </row>
    <row r="15" spans="2:24" x14ac:dyDescent="0.2">
      <c r="B15" s="6"/>
      <c r="C15" s="11"/>
      <c r="D15" s="11" t="s">
        <v>328</v>
      </c>
      <c r="E15" s="11"/>
      <c r="F15" s="11"/>
      <c r="G15" s="11"/>
      <c r="H15" s="11"/>
      <c r="I15" s="53" t="s">
        <v>245</v>
      </c>
      <c r="J15" s="11" t="s">
        <v>330</v>
      </c>
      <c r="K15" s="11"/>
      <c r="L15" s="11"/>
      <c r="M15" s="11"/>
      <c r="N15" s="11"/>
      <c r="O15" s="11"/>
      <c r="P15" s="11"/>
      <c r="Q15" s="11"/>
      <c r="R15" s="11"/>
      <c r="S15" s="11"/>
      <c r="T15" s="11"/>
      <c r="U15" s="11"/>
      <c r="V15" s="11"/>
      <c r="W15" s="11"/>
      <c r="X15" s="12"/>
    </row>
    <row r="16" spans="2:24" x14ac:dyDescent="0.2">
      <c r="B16" s="6"/>
      <c r="C16" s="53" t="s">
        <v>240</v>
      </c>
      <c r="D16" s="52">
        <v>45992</v>
      </c>
      <c r="E16" s="11"/>
      <c r="F16" s="11"/>
      <c r="G16" s="11"/>
      <c r="H16" s="11"/>
      <c r="I16" s="11"/>
      <c r="J16" s="11"/>
      <c r="K16" s="11"/>
      <c r="L16" s="11"/>
      <c r="M16" s="11"/>
      <c r="N16" s="11"/>
      <c r="O16" s="11"/>
      <c r="P16" s="11"/>
      <c r="Q16" s="11"/>
      <c r="R16" s="11"/>
      <c r="S16" s="11"/>
      <c r="T16" s="11"/>
      <c r="U16" s="11"/>
      <c r="V16" s="11"/>
      <c r="W16" s="11"/>
      <c r="X16" s="12"/>
    </row>
    <row r="17" spans="2:24" x14ac:dyDescent="0.2">
      <c r="B17" s="6"/>
      <c r="C17" s="11"/>
      <c r="D17" s="11"/>
      <c r="E17" s="11"/>
      <c r="F17" s="11"/>
      <c r="G17" s="11"/>
      <c r="H17" s="11"/>
      <c r="I17" s="53" t="s">
        <v>294</v>
      </c>
      <c r="J17" s="11" t="s">
        <v>295</v>
      </c>
      <c r="K17" s="11"/>
      <c r="L17" s="11"/>
      <c r="M17" s="11"/>
      <c r="N17" s="11"/>
      <c r="O17" s="11"/>
      <c r="P17" s="11"/>
      <c r="Q17" s="11"/>
      <c r="R17" s="11"/>
      <c r="S17" s="11"/>
      <c r="T17" s="11"/>
      <c r="U17" s="11"/>
      <c r="V17" s="11"/>
      <c r="W17" s="11"/>
      <c r="X17" s="12"/>
    </row>
    <row r="18" spans="2:24" x14ac:dyDescent="0.2">
      <c r="B18" s="6"/>
      <c r="C18" s="53" t="s">
        <v>241</v>
      </c>
      <c r="D18" s="11" t="s">
        <v>242</v>
      </c>
      <c r="E18" s="11"/>
      <c r="F18" s="11"/>
      <c r="G18" s="11"/>
      <c r="H18" s="11"/>
      <c r="I18" s="11"/>
      <c r="J18" s="11" t="s">
        <v>296</v>
      </c>
      <c r="K18" s="11"/>
      <c r="L18" s="11"/>
      <c r="M18" s="11"/>
      <c r="N18" s="11"/>
      <c r="O18" s="11"/>
      <c r="P18" s="11"/>
      <c r="Q18" s="11"/>
      <c r="R18" s="11"/>
      <c r="S18" s="11"/>
      <c r="T18" s="11"/>
      <c r="U18" s="11"/>
      <c r="V18" s="11"/>
      <c r="W18" s="11"/>
      <c r="X18" s="12"/>
    </row>
    <row r="19" spans="2:24" x14ac:dyDescent="0.2">
      <c r="B19" s="6"/>
      <c r="C19" s="11"/>
      <c r="D19" s="11"/>
      <c r="E19" s="11"/>
      <c r="F19" s="11"/>
      <c r="G19" s="11"/>
      <c r="H19" s="11"/>
      <c r="I19" s="11"/>
      <c r="J19" s="11"/>
      <c r="K19" s="11"/>
      <c r="L19" s="11"/>
      <c r="M19" s="11"/>
      <c r="N19" s="11"/>
      <c r="O19" s="11"/>
      <c r="P19" s="11"/>
      <c r="Q19" s="11"/>
      <c r="R19" s="11"/>
      <c r="S19" s="11"/>
      <c r="T19" s="11"/>
      <c r="U19" s="11"/>
      <c r="V19" s="11"/>
      <c r="W19" s="11"/>
      <c r="X19" s="12"/>
    </row>
    <row r="20" spans="2:24" x14ac:dyDescent="0.2">
      <c r="B20" s="6"/>
      <c r="C20" s="53" t="s">
        <v>243</v>
      </c>
      <c r="D20" s="15" t="s">
        <v>244</v>
      </c>
      <c r="E20" s="15"/>
      <c r="F20" s="11"/>
      <c r="G20" s="11"/>
      <c r="H20" s="11"/>
      <c r="I20" s="11"/>
      <c r="J20" s="11"/>
      <c r="K20" s="11"/>
      <c r="L20" s="11"/>
      <c r="M20" s="11"/>
      <c r="N20" s="11"/>
      <c r="O20" s="11"/>
      <c r="P20" s="11"/>
      <c r="Q20" s="11"/>
      <c r="R20" s="11"/>
      <c r="S20" s="11"/>
      <c r="T20" s="11"/>
      <c r="U20" s="11"/>
      <c r="V20" s="11"/>
      <c r="W20" s="11"/>
      <c r="X20" s="12"/>
    </row>
    <row r="21" spans="2:24" x14ac:dyDescent="0.2">
      <c r="B21" s="9"/>
      <c r="C21" s="13"/>
      <c r="D21" s="13"/>
      <c r="E21" s="13"/>
      <c r="F21" s="13"/>
      <c r="G21" s="13"/>
      <c r="H21" s="13"/>
      <c r="I21" s="13"/>
      <c r="J21" s="13"/>
      <c r="K21" s="13"/>
      <c r="L21" s="13"/>
      <c r="M21" s="13"/>
      <c r="N21" s="13"/>
      <c r="O21" s="13"/>
      <c r="P21" s="13"/>
      <c r="Q21" s="13"/>
      <c r="R21" s="13"/>
      <c r="S21" s="13"/>
      <c r="T21" s="13"/>
      <c r="U21" s="13"/>
      <c r="V21" s="13"/>
      <c r="W21" s="13"/>
      <c r="X21" s="14"/>
    </row>
  </sheetData>
  <hyperlinks>
    <hyperlink ref="D20" r:id="rId1" xr:uid="{F5FB0DE9-C616-4FE8-83F6-57FD61DB222D}"/>
  </hyperlinks>
  <pageMargins left="0.7" right="0.7" top="0.78740157499999996" bottom="0.78740157499999996"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7EDD4-C48D-4D8D-AB3B-91E4C799F675}">
  <sheetPr codeName="Tabelle10">
    <tabColor theme="7"/>
  </sheetPr>
  <dimension ref="A1:Q49"/>
  <sheetViews>
    <sheetView zoomScale="55" zoomScaleNormal="55" workbookViewId="0">
      <selection activeCell="Z30" sqref="Z30"/>
    </sheetView>
  </sheetViews>
  <sheetFormatPr baseColWidth="10" defaultColWidth="11" defaultRowHeight="14.25" x14ac:dyDescent="0.2"/>
  <cols>
    <col min="1" max="1" width="2.125" style="20" customWidth="1"/>
    <col min="2" max="2" width="12.625" style="20" customWidth="1"/>
    <col min="3" max="3" width="17" style="20" customWidth="1"/>
    <col min="4" max="4" width="11" style="20" customWidth="1"/>
    <col min="5" max="9" width="11" style="20"/>
    <col min="10" max="12" width="12.375" style="20" bestFit="1" customWidth="1"/>
    <col min="13" max="13" width="11" style="20"/>
    <col min="14" max="14" width="11.875" style="20" bestFit="1" customWidth="1"/>
    <col min="15" max="17" width="12.375" style="20" bestFit="1" customWidth="1"/>
    <col min="18" max="18" width="12.25" style="20" customWidth="1"/>
    <col min="19" max="19" width="11.25" style="20" customWidth="1"/>
    <col min="20" max="22" width="11" style="20"/>
    <col min="23" max="23" width="13" style="20" customWidth="1"/>
    <col min="24" max="26" width="11" style="20"/>
    <col min="27" max="27" width="13.25" style="20" customWidth="1"/>
    <col min="28" max="28" width="12.625" style="20" customWidth="1"/>
    <col min="29" max="29" width="11" style="20"/>
    <col min="30" max="30" width="11.75" style="20" customWidth="1"/>
    <col min="31" max="32" width="12" style="20" customWidth="1"/>
    <col min="33" max="33" width="11.625" style="20" customWidth="1"/>
    <col min="34" max="34" width="12" style="20" customWidth="1"/>
    <col min="35" max="35" width="12.125" style="20" customWidth="1"/>
    <col min="36" max="36" width="11.625" style="20" customWidth="1"/>
    <col min="37" max="37" width="12.125" style="20" customWidth="1"/>
    <col min="38" max="16384" width="11" style="20"/>
  </cols>
  <sheetData>
    <row r="1" spans="2:13" ht="10.5" customHeight="1" x14ac:dyDescent="0.2"/>
    <row r="2" spans="2:13" s="1" customFormat="1" ht="23.45" customHeight="1" x14ac:dyDescent="0.2">
      <c r="B2" s="2" t="s">
        <v>165</v>
      </c>
    </row>
    <row r="3" spans="2:13" ht="25.15" customHeight="1" x14ac:dyDescent="0.2"/>
    <row r="4" spans="2:13" ht="25.15" customHeight="1" x14ac:dyDescent="0.2">
      <c r="B4" s="81" t="s">
        <v>320</v>
      </c>
      <c r="C4" s="150"/>
      <c r="D4" s="150"/>
      <c r="E4" s="150"/>
      <c r="F4" s="150"/>
      <c r="G4" s="150"/>
      <c r="H4" s="150"/>
      <c r="I4" s="150"/>
      <c r="J4" s="150"/>
      <c r="K4" s="150"/>
      <c r="L4" s="150"/>
      <c r="M4" s="150"/>
    </row>
    <row r="5" spans="2:13" ht="25.15" customHeight="1" x14ac:dyDescent="0.2">
      <c r="B5" s="150"/>
      <c r="C5" s="150"/>
      <c r="D5" s="150"/>
      <c r="E5" s="150"/>
      <c r="F5" s="150"/>
      <c r="G5" s="150"/>
      <c r="H5" s="150"/>
      <c r="I5" s="150"/>
      <c r="J5" s="150"/>
      <c r="K5" s="150"/>
      <c r="L5" s="150"/>
      <c r="M5" s="150"/>
    </row>
    <row r="6" spans="2:13" ht="25.15" customHeight="1" x14ac:dyDescent="0.2"/>
    <row r="7" spans="2:13" ht="25.15" customHeight="1" x14ac:dyDescent="0.2">
      <c r="B7" s="130" t="s">
        <v>326</v>
      </c>
      <c r="C7" s="130"/>
      <c r="D7" s="130"/>
      <c r="E7" s="130"/>
      <c r="F7" s="130"/>
    </row>
    <row r="8" spans="2:13" ht="27.75" customHeight="1" x14ac:dyDescent="0.2">
      <c r="B8" s="130"/>
      <c r="C8" s="130"/>
      <c r="D8" s="130"/>
      <c r="E8" s="130"/>
      <c r="F8" s="130"/>
    </row>
    <row r="9" spans="2:13" ht="40.5" customHeight="1" x14ac:dyDescent="0.2">
      <c r="B9" s="103" t="str">
        <f>'8. Control Panel - Aus'!C9</f>
        <v>2023 Aus Population Growth Rate</v>
      </c>
      <c r="C9" s="103"/>
      <c r="D9" s="103"/>
      <c r="E9" s="100">
        <f>_2023_Aus_Population_Growth_Rate</f>
        <v>1.0999999999999999E-2</v>
      </c>
      <c r="F9" s="100"/>
    </row>
    <row r="10" spans="2:13" ht="25.15" customHeight="1" x14ac:dyDescent="0.2">
      <c r="B10" s="103" t="str">
        <f>'2. Control Panel - Lüderitz'!C11</f>
        <v>Census Year</v>
      </c>
      <c r="C10" s="103"/>
      <c r="D10" s="103"/>
      <c r="E10" s="101">
        <f>'8. Control Panel - Aus'!D10</f>
        <v>2023</v>
      </c>
      <c r="F10" s="101"/>
    </row>
    <row r="11" spans="2:13" ht="25.15" customHeight="1" x14ac:dyDescent="0.2">
      <c r="B11" s="103" t="str">
        <f>'2. Control Panel - Lüderitz'!C12</f>
        <v>Census Year Population</v>
      </c>
      <c r="C11" s="103"/>
      <c r="D11" s="103"/>
      <c r="E11" s="102">
        <f>Aus_2023Census_Pop</f>
        <v>1200</v>
      </c>
      <c r="F11" s="102"/>
    </row>
    <row r="12" spans="2:13" ht="25.15" customHeight="1" x14ac:dyDescent="0.2">
      <c r="B12" s="103" t="str">
        <f>'2. Control Panel - Lüderitz'!C13</f>
        <v>Average Namibian Household Size</v>
      </c>
      <c r="C12" s="103"/>
      <c r="D12" s="103"/>
      <c r="E12" s="103">
        <f>Household_Size</f>
        <v>3.8</v>
      </c>
      <c r="F12" s="103"/>
    </row>
    <row r="13" spans="2:13" ht="25.15" customHeight="1" x14ac:dyDescent="0.2">
      <c r="B13" s="103" t="str">
        <f>'2. Control Panel - Lüderitz'!F11</f>
        <v>Relocation Factor</v>
      </c>
      <c r="C13" s="103"/>
      <c r="D13" s="103"/>
      <c r="E13" s="104">
        <f>RelocationFactor</f>
        <v>0.6</v>
      </c>
      <c r="F13" s="104"/>
    </row>
    <row r="14" spans="2:13" ht="39.75" customHeight="1" x14ac:dyDescent="0.2">
      <c r="B14" s="103" t="str">
        <f>'2. Control Panel - Lüderitz'!F12</f>
        <v>Resident / Job Multiplier (residents per job)</v>
      </c>
      <c r="C14" s="103"/>
      <c r="D14" s="103"/>
      <c r="E14" s="103">
        <f>Resident_Job_Multiplier</f>
        <v>2.2799999999999998</v>
      </c>
      <c r="F14" s="103"/>
    </row>
    <row r="15" spans="2:13" ht="43.5" customHeight="1" x14ac:dyDescent="0.2">
      <c r="B15" s="103" t="str">
        <f>'2. Control Panel - Lüderitz'!F13</f>
        <v>Resident / Job Multiplier (without hydrogen worker)</v>
      </c>
      <c r="C15" s="103"/>
      <c r="D15" s="103"/>
      <c r="E15" s="103">
        <f>Resident__Job_Multiplier_wO_H2_worker</f>
        <v>1.68</v>
      </c>
      <c r="F15" s="103"/>
    </row>
    <row r="16" spans="2:13" ht="39.4" customHeight="1" x14ac:dyDescent="0.2"/>
    <row r="17" spans="2:17" s="39" customFormat="1" ht="23.45" customHeight="1" x14ac:dyDescent="0.2">
      <c r="B17" s="105" t="s">
        <v>75</v>
      </c>
      <c r="C17" s="105"/>
      <c r="D17" s="105"/>
      <c r="E17" s="105"/>
      <c r="F17" s="105"/>
      <c r="G17" s="105"/>
      <c r="H17" s="105"/>
      <c r="I17" s="105"/>
      <c r="J17" s="105"/>
      <c r="K17" s="105"/>
      <c r="L17" s="105"/>
      <c r="M17" s="105"/>
      <c r="N17" s="105"/>
      <c r="O17" s="105"/>
      <c r="P17" s="105"/>
      <c r="Q17" s="105"/>
    </row>
    <row r="18" spans="2:17" s="39" customFormat="1" ht="23.45" customHeight="1" x14ac:dyDescent="0.2"/>
    <row r="19" spans="2:17" ht="16.5" customHeight="1" x14ac:dyDescent="0.2">
      <c r="E19" s="39"/>
      <c r="F19" s="39"/>
      <c r="G19" s="39"/>
      <c r="H19" s="39"/>
      <c r="J19" s="123" t="s">
        <v>167</v>
      </c>
      <c r="K19" s="123"/>
      <c r="L19" s="123"/>
      <c r="N19" s="123" t="s">
        <v>168</v>
      </c>
      <c r="O19" s="123"/>
      <c r="P19" s="123"/>
      <c r="Q19" s="123"/>
    </row>
    <row r="20" spans="2:17" ht="15" customHeight="1" x14ac:dyDescent="0.2">
      <c r="E20" s="123" t="s">
        <v>166</v>
      </c>
      <c r="F20" s="123"/>
      <c r="G20" s="123"/>
      <c r="H20" s="123"/>
      <c r="J20" s="123"/>
      <c r="K20" s="123"/>
      <c r="L20" s="123"/>
      <c r="N20" s="123"/>
      <c r="O20" s="123"/>
      <c r="P20" s="123"/>
      <c r="Q20" s="123"/>
    </row>
    <row r="21" spans="2:17" ht="13.9" customHeight="1" x14ac:dyDescent="0.25">
      <c r="E21" s="123"/>
      <c r="F21" s="123"/>
      <c r="G21" s="123"/>
      <c r="H21" s="123"/>
      <c r="J21" s="69" t="s">
        <v>249</v>
      </c>
      <c r="K21" s="69" t="s">
        <v>250</v>
      </c>
      <c r="L21" s="69" t="s">
        <v>251</v>
      </c>
      <c r="N21" s="148" t="s">
        <v>206</v>
      </c>
      <c r="O21" s="69" t="s">
        <v>249</v>
      </c>
      <c r="P21" s="69" t="s">
        <v>250</v>
      </c>
      <c r="Q21" s="69" t="s">
        <v>251</v>
      </c>
    </row>
    <row r="22" spans="2:17" ht="67.150000000000006" customHeight="1" x14ac:dyDescent="0.2">
      <c r="B22" s="56" t="s">
        <v>34</v>
      </c>
      <c r="C22" s="57" t="s">
        <v>169</v>
      </c>
      <c r="D22" s="40"/>
      <c r="E22" s="57" t="s">
        <v>170</v>
      </c>
      <c r="F22" s="57" t="s">
        <v>171</v>
      </c>
      <c r="G22" s="57" t="s">
        <v>172</v>
      </c>
      <c r="H22" s="57" t="s">
        <v>173</v>
      </c>
      <c r="J22" s="108" t="s">
        <v>170</v>
      </c>
      <c r="K22" s="108"/>
      <c r="L22" s="108"/>
      <c r="N22" s="149"/>
      <c r="O22" s="108" t="s">
        <v>170</v>
      </c>
      <c r="P22" s="108"/>
      <c r="Q22" s="108"/>
    </row>
    <row r="23" spans="2:17" x14ac:dyDescent="0.2">
      <c r="B23" s="42">
        <f>Start_Aus_Scenarios</f>
        <v>2025</v>
      </c>
      <c r="C23" s="43">
        <f>Starting_Pop_Aus_Scenarios</f>
        <v>1227</v>
      </c>
      <c r="E23" s="25" t="str">
        <f>IF(B23&lt;'3. Lüderitz Industry'!$L$12,"",IF('4. Lüderitz Population Calc'!B31&lt;'3. Lüderitz Industry'!$L$13,'3. Lüderitz Industry'!$O$12*Percent_1_Aus,IF('4. Lüderitz Population Calc'!B31&lt;'3. Lüderitz Industry'!$L$14,'3. Lüderitz Industry'!$O$13*Percent_1_Aus,'3. Lüderitz Industry'!$O$14*Percent_1_Aus)))</f>
        <v/>
      </c>
      <c r="F23" s="25" t="str">
        <f>IF(B23&lt;'3. Lüderitz Industry'!$L$12,"",IF('4. Lüderitz Population Calc'!B31&lt;'3. Lüderitz Industry'!$L$13,'3. Lüderitz Industry'!$O$12*Percent_2_Aus,IF('4. Lüderitz Population Calc'!B31&lt;'3. Lüderitz Industry'!$L$14,'3. Lüderitz Industry'!$O$13*Percent_2_Aus,'3. Lüderitz Industry'!$O$14*Percent_2_Aus)))</f>
        <v/>
      </c>
      <c r="G23" s="25" t="str">
        <f>IF(B23&lt;'3. Lüderitz Industry'!$L$12,"",IF('4. Lüderitz Population Calc'!B31&lt;'3. Lüderitz Industry'!$L$13,'3. Lüderitz Industry'!$O$12*Percent_5_Aus,IF('4. Lüderitz Population Calc'!B31&lt;'3. Lüderitz Industry'!$L$14,'3. Lüderitz Industry'!$O$13*Percent_5_Aus,'3. Lüderitz Industry'!$O$14*Percent_5_Aus)))</f>
        <v/>
      </c>
      <c r="H23" s="25" t="str">
        <f>IF(B23&lt;'3. Lüderitz Industry'!$L$12,"",IF('4. Lüderitz Population Calc'!B31&lt;'3. Lüderitz Industry'!$L$13,'3. Lüderitz Industry'!$O$12*Percent_10_Aus,IF('4. Lüderitz Population Calc'!B31&lt;'3. Lüderitz Industry'!$L$14,'3. Lüderitz Industry'!$O$13*Percent_10_Aus,'3. Lüderitz Industry'!$O$14*Percent_10_Aus)))</f>
        <v/>
      </c>
      <c r="J23" s="61">
        <f>C23</f>
        <v>1227</v>
      </c>
      <c r="K23" s="61">
        <f>C23</f>
        <v>1227</v>
      </c>
      <c r="L23" s="61">
        <f>C23</f>
        <v>1227</v>
      </c>
      <c r="N23" s="61">
        <f>C23*'8. Control Panel - Aus'!$J$14</f>
        <v>51785.636157500718</v>
      </c>
      <c r="O23" s="61">
        <f t="shared" ref="O23:O48" si="0">J23*Aus_Domestic_water_demand_per_person__m3_person_year</f>
        <v>53742.6</v>
      </c>
      <c r="P23" s="61">
        <f t="shared" ref="P23:P48" si="1">K23*Aus_Domestic_water_demand_per_person__m3_person_year</f>
        <v>53742.6</v>
      </c>
      <c r="Q23" s="61">
        <f t="shared" ref="Q23:Q48" si="2">L23*Aus_Domestic_water_demand_per_person__m3_person_year</f>
        <v>53742.6</v>
      </c>
    </row>
    <row r="24" spans="2:17" x14ac:dyDescent="0.2">
      <c r="B24" s="44">
        <f>B23+1</f>
        <v>2026</v>
      </c>
      <c r="C24" s="45">
        <f t="shared" ref="C24:C48" si="3">C23+(C23*_2023_Aus_Population_Growth_Rate)</f>
        <v>1240.4970000000001</v>
      </c>
      <c r="E24" s="25" t="str">
        <f>IF(B24&lt;'3. Lüderitz Industry'!$L$12,"",IF('4. Lüderitz Population Calc'!B32&lt;'3. Lüderitz Industry'!$L$13,'3. Lüderitz Industry'!$O$12*Percent_1_Aus,IF('4. Lüderitz Population Calc'!B32&lt;'3. Lüderitz Industry'!$L$14,'3. Lüderitz Industry'!$O$13*Percent_1_Aus,'3. Lüderitz Industry'!$O$14*Percent_1_Aus)))</f>
        <v/>
      </c>
      <c r="F24" s="25" t="str">
        <f>IF(B24&lt;'3. Lüderitz Industry'!$L$12,"",IF('4. Lüderitz Population Calc'!B32&lt;'3. Lüderitz Industry'!$L$13,'3. Lüderitz Industry'!$O$12*Percent_2_Aus,IF('4. Lüderitz Population Calc'!B32&lt;'3. Lüderitz Industry'!$L$14,'3. Lüderitz Industry'!$O$13*Percent_2_Aus,'3. Lüderitz Industry'!$O$14*Percent_2_Aus)))</f>
        <v/>
      </c>
      <c r="G24" s="25" t="str">
        <f>IF(B24&lt;'3. Lüderitz Industry'!$L$12,"",IF('4. Lüderitz Population Calc'!B32&lt;'3. Lüderitz Industry'!$L$13,'3. Lüderitz Industry'!$O$12*Percent_5_Aus,IF('4. Lüderitz Population Calc'!B32&lt;'3. Lüderitz Industry'!$L$14,'3. Lüderitz Industry'!$O$13*Percent_5_Aus,'3. Lüderitz Industry'!$O$14*Percent_5_Aus)))</f>
        <v/>
      </c>
      <c r="H24" s="25" t="str">
        <f>IF(B24&lt;'3. Lüderitz Industry'!$L$12,"",IF('4. Lüderitz Population Calc'!B32&lt;'3. Lüderitz Industry'!$L$13,'3. Lüderitz Industry'!$O$12*Percent_10_Aus,IF('4. Lüderitz Population Calc'!B32&lt;'3. Lüderitz Industry'!$L$14,'3. Lüderitz Industry'!$O$13*Percent_10_Aus,'3. Lüderitz Industry'!$O$14*Percent_10_Aus)))</f>
        <v/>
      </c>
      <c r="J24" s="61">
        <f>C24</f>
        <v>1240.4970000000001</v>
      </c>
      <c r="K24" s="61">
        <f>C24</f>
        <v>1240.4970000000001</v>
      </c>
      <c r="L24" s="61">
        <f>C24</f>
        <v>1240.4970000000001</v>
      </c>
      <c r="N24" s="61">
        <f>C24*'8. Control Panel - Aus'!$J$14</f>
        <v>52355.278155233224</v>
      </c>
      <c r="O24" s="61">
        <f t="shared" si="0"/>
        <v>54333.768600000003</v>
      </c>
      <c r="P24" s="61">
        <f t="shared" si="1"/>
        <v>54333.768600000003</v>
      </c>
      <c r="Q24" s="61">
        <f t="shared" si="2"/>
        <v>54333.768600000003</v>
      </c>
    </row>
    <row r="25" spans="2:17" x14ac:dyDescent="0.2">
      <c r="B25" s="44">
        <f t="shared" ref="B25:B46" si="4">B24+1</f>
        <v>2027</v>
      </c>
      <c r="C25" s="45">
        <f t="shared" si="3"/>
        <v>1254.1424670000001</v>
      </c>
      <c r="E25" s="25">
        <f>IF(B25&lt;'3. Lüderitz Industry'!$L$12,"",IF('4. Lüderitz Population Calc'!B33&lt;'3. Lüderitz Industry'!$L$13,'3. Lüderitz Industry'!$O$12*Percent_1_Aus,IF('4. Lüderitz Population Calc'!B33&lt;'3. Lüderitz Industry'!$L$14,'3. Lüderitz Industry'!$O$13*Percent_1_Aus,'3. Lüderitz Industry'!$O$14*Percent_1_Aus)))</f>
        <v>140</v>
      </c>
      <c r="F25" s="25">
        <f>IF(B25&lt;'3. Lüderitz Industry'!$L$12,"",IF('4. Lüderitz Population Calc'!B33&lt;'3. Lüderitz Industry'!$L$13,'3. Lüderitz Industry'!$O$12*Percent_2_Aus,IF('4. Lüderitz Population Calc'!B33&lt;'3. Lüderitz Industry'!$L$14,'3. Lüderitz Industry'!$O$13*Percent_2_Aus,'3. Lüderitz Industry'!$O$14*Percent_2_Aus)))</f>
        <v>350</v>
      </c>
      <c r="G25" s="25">
        <f>IF(B25&lt;'3. Lüderitz Industry'!$L$12,"",IF('4. Lüderitz Population Calc'!B33&lt;'3. Lüderitz Industry'!$L$13,'3. Lüderitz Industry'!$O$12*Percent_5_Aus,IF('4. Lüderitz Population Calc'!B33&lt;'3. Lüderitz Industry'!$L$14,'3. Lüderitz Industry'!$O$13*Percent_5_Aus,'3. Lüderitz Industry'!$O$14*Percent_5_Aus)))</f>
        <v>700</v>
      </c>
      <c r="H25" s="25">
        <f>IF(B25&lt;'3. Lüderitz Industry'!$L$12,"",IF('4. Lüderitz Population Calc'!B33&lt;'3. Lüderitz Industry'!$L$13,'3. Lüderitz Industry'!$O$12*Percent_10_Aus,IF('4. Lüderitz Population Calc'!B33&lt;'3. Lüderitz Industry'!$L$14,'3. Lüderitz Industry'!$O$13*Percent_10_Aus,'3. Lüderitz Industry'!$O$14*Percent_10_Aus)))</f>
        <v>1400</v>
      </c>
      <c r="J25" s="61">
        <f>C25+E25</f>
        <v>1394.1424670000001</v>
      </c>
      <c r="K25" s="61">
        <f>C25+(E25*'8. Control Panel - Aus'!G11)</f>
        <v>1573.3424670000002</v>
      </c>
      <c r="L25" s="61">
        <f>C25+(E25*'8. Control Panel - Aus'!G11)</f>
        <v>1573.3424670000002</v>
      </c>
      <c r="N25" s="61">
        <f>C25*'8. Control Panel - Aus'!$J$14</f>
        <v>52931.186214940797</v>
      </c>
      <c r="O25" s="61">
        <f t="shared" si="0"/>
        <v>61063.440054600003</v>
      </c>
      <c r="P25" s="61">
        <f t="shared" si="1"/>
        <v>68912.400054600002</v>
      </c>
      <c r="Q25" s="61">
        <f t="shared" si="2"/>
        <v>68912.400054600002</v>
      </c>
    </row>
    <row r="26" spans="2:17" x14ac:dyDescent="0.2">
      <c r="B26" s="44">
        <f t="shared" si="4"/>
        <v>2028</v>
      </c>
      <c r="C26" s="45">
        <f t="shared" si="3"/>
        <v>1267.9380341370002</v>
      </c>
      <c r="E26" s="25">
        <f>IF(B26&lt;'3. Lüderitz Industry'!$L$12,"",IF('4. Lüderitz Population Calc'!B34&lt;'3. Lüderitz Industry'!$L$13,'3. Lüderitz Industry'!$O$12*Percent_1_Aus,IF('4. Lüderitz Population Calc'!B34&lt;'3. Lüderitz Industry'!$L$14,'3. Lüderitz Industry'!$O$13*Percent_1_Aus,'3. Lüderitz Industry'!$O$14*Percent_1_Aus)))</f>
        <v>140</v>
      </c>
      <c r="F26" s="25">
        <f>IF(B26&lt;'3. Lüderitz Industry'!$L$12,"",IF('4. Lüderitz Population Calc'!B34&lt;'3. Lüderitz Industry'!$L$13,'3. Lüderitz Industry'!$O$12*Percent_2_Aus,IF('4. Lüderitz Population Calc'!B34&lt;'3. Lüderitz Industry'!$L$14,'3. Lüderitz Industry'!$O$13*Percent_2_Aus,'3. Lüderitz Industry'!$O$14*Percent_2_Aus)))</f>
        <v>350</v>
      </c>
      <c r="G26" s="25">
        <f>IF(B26&lt;'3. Lüderitz Industry'!$L$12,"",IF('4. Lüderitz Population Calc'!B34&lt;'3. Lüderitz Industry'!$L$13,'3. Lüderitz Industry'!$O$12*Percent_5_Aus,IF('4. Lüderitz Population Calc'!B34&lt;'3. Lüderitz Industry'!$L$14,'3. Lüderitz Industry'!$O$13*Percent_5_Aus,'3. Lüderitz Industry'!$O$14*Percent_5_Aus)))</f>
        <v>700</v>
      </c>
      <c r="H26" s="25">
        <f>IF(B26&lt;'3. Lüderitz Industry'!$L$12,"",IF('4. Lüderitz Population Calc'!B34&lt;'3. Lüderitz Industry'!$L$13,'3. Lüderitz Industry'!$O$12*Percent_10_Aus,IF('4. Lüderitz Population Calc'!B34&lt;'3. Lüderitz Industry'!$L$14,'3. Lüderitz Industry'!$O$13*Percent_10_Aus,'3. Lüderitz Industry'!$O$14*Percent_10_Aus)))</f>
        <v>1400</v>
      </c>
      <c r="J26" s="61">
        <f t="shared" ref="J26:J48" si="5">J25+(J25*_2023_Aus_Population_Growth_Rate)</f>
        <v>1409.4780341370001</v>
      </c>
      <c r="K26" s="61">
        <f t="shared" ref="K26:K48" si="6">K25+(K25*_2023_Aus_Population_Growth_Rate)</f>
        <v>1590.6492341370001</v>
      </c>
      <c r="L26" s="61">
        <f t="shared" ref="L26:L31" si="7">L25+(L25*_2023_Aus_Population_Growth_Rate)</f>
        <v>1590.6492341370001</v>
      </c>
      <c r="N26" s="61">
        <f>C26*'8. Control Panel - Aus'!$J$14</f>
        <v>53513.429263305145</v>
      </c>
      <c r="O26" s="61">
        <f t="shared" si="0"/>
        <v>61735.137895200598</v>
      </c>
      <c r="P26" s="61">
        <f t="shared" si="1"/>
        <v>69670.436455200601</v>
      </c>
      <c r="Q26" s="61">
        <f t="shared" si="2"/>
        <v>69670.436455200601</v>
      </c>
    </row>
    <row r="27" spans="2:17" x14ac:dyDescent="0.2">
      <c r="B27" s="44">
        <f t="shared" si="4"/>
        <v>2029</v>
      </c>
      <c r="C27" s="45">
        <f t="shared" si="3"/>
        <v>1281.8853525125071</v>
      </c>
      <c r="E27" s="25">
        <f>IF(B27&lt;'3. Lüderitz Industry'!$L$12,"",IF('4. Lüderitz Population Calc'!B35&lt;'3. Lüderitz Industry'!$L$13,'3. Lüderitz Industry'!$O$12*Percent_1_Aus,IF('4. Lüderitz Population Calc'!B35&lt;'3. Lüderitz Industry'!$L$14,'3. Lüderitz Industry'!$O$13*Percent_1_Aus,'3. Lüderitz Industry'!$O$14*Percent_1_Aus)))</f>
        <v>140</v>
      </c>
      <c r="F27" s="25">
        <f>IF(B27&lt;'3. Lüderitz Industry'!$L$12,"",IF('4. Lüderitz Population Calc'!B35&lt;'3. Lüderitz Industry'!$L$13,'3. Lüderitz Industry'!$O$12*Percent_2_Aus,IF('4. Lüderitz Population Calc'!B35&lt;'3. Lüderitz Industry'!$L$14,'3. Lüderitz Industry'!$O$13*Percent_2_Aus,'3. Lüderitz Industry'!$O$14*Percent_2_Aus)))</f>
        <v>350</v>
      </c>
      <c r="G27" s="25">
        <f>IF(B27&lt;'3. Lüderitz Industry'!$L$12,"",IF('4. Lüderitz Population Calc'!B35&lt;'3. Lüderitz Industry'!$L$13,'3. Lüderitz Industry'!$O$12*Percent_5_Aus,IF('4. Lüderitz Population Calc'!B35&lt;'3. Lüderitz Industry'!$L$14,'3. Lüderitz Industry'!$O$13*Percent_5_Aus,'3. Lüderitz Industry'!$O$14*Percent_5_Aus)))</f>
        <v>700</v>
      </c>
      <c r="H27" s="25">
        <f>IF(B27&lt;'3. Lüderitz Industry'!$L$12,"",IF('4. Lüderitz Population Calc'!B35&lt;'3. Lüderitz Industry'!$L$13,'3. Lüderitz Industry'!$O$12*Percent_10_Aus,IF('4. Lüderitz Population Calc'!B35&lt;'3. Lüderitz Industry'!$L$14,'3. Lüderitz Industry'!$O$13*Percent_10_Aus,'3. Lüderitz Industry'!$O$14*Percent_10_Aus)))</f>
        <v>1400</v>
      </c>
      <c r="J27" s="61">
        <f t="shared" si="5"/>
        <v>1424.9822925125072</v>
      </c>
      <c r="K27" s="61">
        <f t="shared" si="6"/>
        <v>1608.1463757125071</v>
      </c>
      <c r="L27" s="61">
        <f t="shared" si="7"/>
        <v>1608.1463757125071</v>
      </c>
      <c r="N27" s="61">
        <f>C27*'8. Control Panel - Aus'!$J$14</f>
        <v>54102.0769852015</v>
      </c>
      <c r="O27" s="61">
        <f t="shared" si="0"/>
        <v>62414.224412047814</v>
      </c>
      <c r="P27" s="61">
        <f t="shared" si="1"/>
        <v>70436.811256207802</v>
      </c>
      <c r="Q27" s="61">
        <f t="shared" si="2"/>
        <v>70436.811256207802</v>
      </c>
    </row>
    <row r="28" spans="2:17" x14ac:dyDescent="0.2">
      <c r="B28" s="44">
        <f t="shared" si="4"/>
        <v>2030</v>
      </c>
      <c r="C28" s="45">
        <f t="shared" si="3"/>
        <v>1295.9860913901446</v>
      </c>
      <c r="E28" s="25">
        <f>IF(B28&lt;'3. Lüderitz Industry'!$L$12,"",IF('4. Lüderitz Population Calc'!B36&lt;'3. Lüderitz Industry'!$L$13,'3. Lüderitz Industry'!$O$12*Percent_1_Aus,IF('4. Lüderitz Population Calc'!B36&lt;'3. Lüderitz Industry'!$L$14,'3. Lüderitz Industry'!$O$13*Percent_1_Aus,'3. Lüderitz Industry'!$O$14*Percent_1_Aus)))</f>
        <v>140</v>
      </c>
      <c r="F28" s="25">
        <f>IF(B28&lt;'3. Lüderitz Industry'!$L$12,"",IF('4. Lüderitz Population Calc'!B36&lt;'3. Lüderitz Industry'!$L$13,'3. Lüderitz Industry'!$O$12*Percent_2_Aus,IF('4. Lüderitz Population Calc'!B36&lt;'3. Lüderitz Industry'!$L$14,'3. Lüderitz Industry'!$O$13*Percent_2_Aus,'3. Lüderitz Industry'!$O$14*Percent_2_Aus)))</f>
        <v>350</v>
      </c>
      <c r="G28" s="25">
        <f>IF(B28&lt;'3. Lüderitz Industry'!$L$12,"",IF('4. Lüderitz Population Calc'!B36&lt;'3. Lüderitz Industry'!$L$13,'3. Lüderitz Industry'!$O$12*Percent_5_Aus,IF('4. Lüderitz Population Calc'!B36&lt;'3. Lüderitz Industry'!$L$14,'3. Lüderitz Industry'!$O$13*Percent_5_Aus,'3. Lüderitz Industry'!$O$14*Percent_5_Aus)))</f>
        <v>700</v>
      </c>
      <c r="H28" s="25">
        <f>IF(B28&lt;'3. Lüderitz Industry'!$L$12,"",IF('4. Lüderitz Population Calc'!B36&lt;'3. Lüderitz Industry'!$L$13,'3. Lüderitz Industry'!$O$12*Percent_10_Aus,IF('4. Lüderitz Population Calc'!B36&lt;'3. Lüderitz Industry'!$L$14,'3. Lüderitz Industry'!$O$13*Percent_10_Aus,'3. Lüderitz Industry'!$O$14*Percent_10_Aus)))</f>
        <v>1400</v>
      </c>
      <c r="J28" s="61">
        <f t="shared" si="5"/>
        <v>1440.6570977301449</v>
      </c>
      <c r="K28" s="61">
        <f t="shared" si="6"/>
        <v>1625.8359858453446</v>
      </c>
      <c r="L28" s="61">
        <f t="shared" si="7"/>
        <v>1625.8359858453446</v>
      </c>
      <c r="N28" s="61">
        <f>C28*'8. Control Panel - Aus'!$J$14</f>
        <v>54697.199832038707</v>
      </c>
      <c r="O28" s="61">
        <f t="shared" si="0"/>
        <v>63100.780880580343</v>
      </c>
      <c r="P28" s="61">
        <f t="shared" si="1"/>
        <v>71211.616180026089</v>
      </c>
      <c r="Q28" s="61">
        <f t="shared" si="2"/>
        <v>71211.616180026089</v>
      </c>
    </row>
    <row r="29" spans="2:17" x14ac:dyDescent="0.2">
      <c r="B29" s="44">
        <f t="shared" si="4"/>
        <v>2031</v>
      </c>
      <c r="C29" s="45">
        <f t="shared" si="3"/>
        <v>1310.2419383954361</v>
      </c>
      <c r="E29" s="25">
        <f>IF(B29&lt;'3. Lüderitz Industry'!$L$12,"",IF('4. Lüderitz Population Calc'!B37&lt;'3. Lüderitz Industry'!$L$13,'3. Lüderitz Industry'!$O$12*Percent_1_Aus,IF('4. Lüderitz Population Calc'!B37&lt;'3. Lüderitz Industry'!$L$14,'3. Lüderitz Industry'!$O$13*Percent_1_Aus,'3. Lüderitz Industry'!$O$14*Percent_1_Aus)))</f>
        <v>140</v>
      </c>
      <c r="F29" s="25">
        <f>IF(B29&lt;'3. Lüderitz Industry'!$L$12,"",IF('4. Lüderitz Population Calc'!B37&lt;'3. Lüderitz Industry'!$L$13,'3. Lüderitz Industry'!$O$12*Percent_2_Aus,IF('4. Lüderitz Population Calc'!B37&lt;'3. Lüderitz Industry'!$L$14,'3. Lüderitz Industry'!$O$13*Percent_2_Aus,'3. Lüderitz Industry'!$O$14*Percent_2_Aus)))</f>
        <v>350</v>
      </c>
      <c r="G29" s="25">
        <f>IF(B29&lt;'3. Lüderitz Industry'!$L$12,"",IF('4. Lüderitz Population Calc'!B37&lt;'3. Lüderitz Industry'!$L$13,'3. Lüderitz Industry'!$O$12*Percent_5_Aus,IF('4. Lüderitz Population Calc'!B37&lt;'3. Lüderitz Industry'!$L$14,'3. Lüderitz Industry'!$O$13*Percent_5_Aus,'3. Lüderitz Industry'!$O$14*Percent_5_Aus)))</f>
        <v>700</v>
      </c>
      <c r="H29" s="25">
        <f>IF(B29&lt;'3. Lüderitz Industry'!$L$12,"",IF('4. Lüderitz Population Calc'!B37&lt;'3. Lüderitz Industry'!$L$13,'3. Lüderitz Industry'!$O$12*Percent_10_Aus,IF('4. Lüderitz Population Calc'!B37&lt;'3. Lüderitz Industry'!$L$14,'3. Lüderitz Industry'!$O$13*Percent_10_Aus,'3. Lüderitz Industry'!$O$14*Percent_10_Aus)))</f>
        <v>1400</v>
      </c>
      <c r="J29" s="61">
        <f t="shared" si="5"/>
        <v>1456.5043258051764</v>
      </c>
      <c r="K29" s="61">
        <f t="shared" si="6"/>
        <v>1643.7201816896434</v>
      </c>
      <c r="L29" s="61">
        <f t="shared" si="7"/>
        <v>1643.7201816896434</v>
      </c>
      <c r="N29" s="61">
        <f>C29*'8. Control Panel - Aus'!$J$14</f>
        <v>55298.869030191134</v>
      </c>
      <c r="O29" s="61">
        <f t="shared" si="0"/>
        <v>63794.889470266724</v>
      </c>
      <c r="P29" s="61">
        <f t="shared" si="1"/>
        <v>71994.943958006377</v>
      </c>
      <c r="Q29" s="61">
        <f t="shared" si="2"/>
        <v>71994.943958006377</v>
      </c>
    </row>
    <row r="30" spans="2:17" x14ac:dyDescent="0.2">
      <c r="B30" s="44">
        <f t="shared" si="4"/>
        <v>2032</v>
      </c>
      <c r="C30" s="45">
        <f t="shared" si="3"/>
        <v>1324.6545997177859</v>
      </c>
      <c r="E30" s="25">
        <f>IF(B30&lt;'3. Lüderitz Industry'!$L$12,"",IF('4. Lüderitz Population Calc'!B38&lt;'3. Lüderitz Industry'!$L$13,'3. Lüderitz Industry'!$O$12*Percent_1_Aus,IF('4. Lüderitz Population Calc'!B38&lt;'3. Lüderitz Industry'!$L$14,'3. Lüderitz Industry'!$O$13*Percent_1_Aus,'3. Lüderitz Industry'!$O$14*Percent_1_Aus)))</f>
        <v>140</v>
      </c>
      <c r="F30" s="25">
        <f>IF(B30&lt;'3. Lüderitz Industry'!$L$12,"",IF('4. Lüderitz Population Calc'!B38&lt;'3. Lüderitz Industry'!$L$13,'3. Lüderitz Industry'!$O$12*Percent_2_Aus,IF('4. Lüderitz Population Calc'!B38&lt;'3. Lüderitz Industry'!$L$14,'3. Lüderitz Industry'!$O$13*Percent_2_Aus,'3. Lüderitz Industry'!$O$14*Percent_2_Aus)))</f>
        <v>350</v>
      </c>
      <c r="G30" s="25">
        <f>IF(B30&lt;'3. Lüderitz Industry'!$L$12,"",IF('4. Lüderitz Population Calc'!B38&lt;'3. Lüderitz Industry'!$L$13,'3. Lüderitz Industry'!$O$12*Percent_5_Aus,IF('4. Lüderitz Population Calc'!B38&lt;'3. Lüderitz Industry'!$L$14,'3. Lüderitz Industry'!$O$13*Percent_5_Aus,'3. Lüderitz Industry'!$O$14*Percent_5_Aus)))</f>
        <v>700</v>
      </c>
      <c r="H30" s="25">
        <f>IF(B30&lt;'3. Lüderitz Industry'!$L$12,"",IF('4. Lüderitz Population Calc'!B38&lt;'3. Lüderitz Industry'!$L$13,'3. Lüderitz Industry'!$O$12*Percent_10_Aus,IF('4. Lüderitz Population Calc'!B38&lt;'3. Lüderitz Industry'!$L$14,'3. Lüderitz Industry'!$O$13*Percent_10_Aus,'3. Lüderitz Industry'!$O$14*Percent_10_Aus)))</f>
        <v>1400</v>
      </c>
      <c r="J30" s="61">
        <f t="shared" si="5"/>
        <v>1472.5258733890334</v>
      </c>
      <c r="K30" s="61">
        <f t="shared" si="6"/>
        <v>1661.8011036882294</v>
      </c>
      <c r="L30" s="61">
        <f t="shared" si="7"/>
        <v>1661.8011036882294</v>
      </c>
      <c r="N30" s="61">
        <f>C30*'8. Control Panel - Aus'!$J$14</f>
        <v>55907.156589523234</v>
      </c>
      <c r="O30" s="61">
        <f t="shared" si="0"/>
        <v>64496.633254439657</v>
      </c>
      <c r="P30" s="61">
        <f t="shared" si="1"/>
        <v>72786.888341544443</v>
      </c>
      <c r="Q30" s="61">
        <f t="shared" si="2"/>
        <v>72786.888341544443</v>
      </c>
    </row>
    <row r="31" spans="2:17" x14ac:dyDescent="0.2">
      <c r="B31" s="44">
        <f t="shared" si="4"/>
        <v>2033</v>
      </c>
      <c r="C31" s="45">
        <f t="shared" si="3"/>
        <v>1339.2258003146815</v>
      </c>
      <c r="E31" s="25">
        <f>IF(B31&lt;'3. Lüderitz Industry'!$L$12,"",IF('4. Lüderitz Population Calc'!B39&lt;'3. Lüderitz Industry'!$L$13,'3. Lüderitz Industry'!$O$12*Percent_1_Aus,IF('4. Lüderitz Population Calc'!B39&lt;'3. Lüderitz Industry'!$L$14,'3. Lüderitz Industry'!$O$13*Percent_1_Aus,'3. Lüderitz Industry'!$O$14*Percent_1_Aus)))</f>
        <v>140</v>
      </c>
      <c r="F31" s="25">
        <f>IF(B31&lt;'3. Lüderitz Industry'!$L$12,"",IF('4. Lüderitz Population Calc'!B39&lt;'3. Lüderitz Industry'!$L$13,'3. Lüderitz Industry'!$O$12*Percent_2_Aus,IF('4. Lüderitz Population Calc'!B39&lt;'3. Lüderitz Industry'!$L$14,'3. Lüderitz Industry'!$O$13*Percent_2_Aus,'3. Lüderitz Industry'!$O$14*Percent_2_Aus)))</f>
        <v>350</v>
      </c>
      <c r="G31" s="25">
        <f>IF(B31&lt;'3. Lüderitz Industry'!$L$12,"",IF('4. Lüderitz Population Calc'!B39&lt;'3. Lüderitz Industry'!$L$13,'3. Lüderitz Industry'!$O$12*Percent_5_Aus,IF('4. Lüderitz Population Calc'!B39&lt;'3. Lüderitz Industry'!$L$14,'3. Lüderitz Industry'!$O$13*Percent_5_Aus,'3. Lüderitz Industry'!$O$14*Percent_5_Aus)))</f>
        <v>700</v>
      </c>
      <c r="H31" s="25">
        <f>IF(B31&lt;'3. Lüderitz Industry'!$L$12,"",IF('4. Lüderitz Population Calc'!B39&lt;'3. Lüderitz Industry'!$L$13,'3. Lüderitz Industry'!$O$12*Percent_10_Aus,IF('4. Lüderitz Population Calc'!B39&lt;'3. Lüderitz Industry'!$L$14,'3. Lüderitz Industry'!$O$13*Percent_10_Aus,'3. Lüderitz Industry'!$O$14*Percent_10_Aus)))</f>
        <v>1400</v>
      </c>
      <c r="J31" s="61">
        <f t="shared" si="5"/>
        <v>1488.7236579963128</v>
      </c>
      <c r="K31" s="61">
        <f t="shared" si="6"/>
        <v>1680.0809158288</v>
      </c>
      <c r="L31" s="61">
        <f t="shared" si="7"/>
        <v>1680.0809158288</v>
      </c>
      <c r="N31" s="61">
        <f>C31*'8. Control Panel - Aus'!$J$14</f>
        <v>56522.135312007988</v>
      </c>
      <c r="O31" s="61">
        <f t="shared" si="0"/>
        <v>65206.096220238498</v>
      </c>
      <c r="P31" s="61">
        <f t="shared" si="1"/>
        <v>73587.544113301439</v>
      </c>
      <c r="Q31" s="61">
        <f t="shared" si="2"/>
        <v>73587.544113301439</v>
      </c>
    </row>
    <row r="32" spans="2:17" x14ac:dyDescent="0.2">
      <c r="B32" s="44">
        <f t="shared" si="4"/>
        <v>2034</v>
      </c>
      <c r="C32" s="45">
        <f t="shared" si="3"/>
        <v>1353.957284118143</v>
      </c>
      <c r="J32" s="61">
        <f t="shared" si="5"/>
        <v>1505.0996182342722</v>
      </c>
      <c r="K32" s="61">
        <f t="shared" si="6"/>
        <v>1698.5618059029168</v>
      </c>
      <c r="L32" s="61">
        <f>L31+(L31*_2023_Aus_Population_Growth_Rate)-('9. Aus Pop &amp; Domestic Demand'!E31*'8. Control Panel - Aus'!G11)</f>
        <v>1379.3618059029168</v>
      </c>
      <c r="N32" s="61">
        <f>C32*'8. Control Panel - Aus'!$J$14</f>
        <v>57143.878800440078</v>
      </c>
      <c r="O32" s="61">
        <f t="shared" si="0"/>
        <v>65923.363278661112</v>
      </c>
      <c r="P32" s="61">
        <f t="shared" si="1"/>
        <v>74397.007098547751</v>
      </c>
      <c r="Q32" s="61">
        <f t="shared" si="2"/>
        <v>60416.047098547751</v>
      </c>
    </row>
    <row r="33" spans="2:17" x14ac:dyDescent="0.2">
      <c r="B33" s="44">
        <f t="shared" si="4"/>
        <v>2035</v>
      </c>
      <c r="C33" s="45">
        <f t="shared" si="3"/>
        <v>1368.8508142434425</v>
      </c>
      <c r="J33" s="61">
        <f t="shared" si="5"/>
        <v>1521.6557140348491</v>
      </c>
      <c r="K33" s="61">
        <f t="shared" si="6"/>
        <v>1717.2459857678489</v>
      </c>
      <c r="L33" s="61">
        <f t="shared" ref="L33:L48" si="8">L32+(L32*_2023_Aus_Population_Growth_Rate)</f>
        <v>1394.5347857678489</v>
      </c>
      <c r="N33" s="61">
        <f>C33*'8. Control Panel - Aus'!$J$14</f>
        <v>57772.461467244917</v>
      </c>
      <c r="O33" s="61">
        <f t="shared" si="0"/>
        <v>66648.520274726383</v>
      </c>
      <c r="P33" s="61">
        <f t="shared" si="1"/>
        <v>75215.374176631769</v>
      </c>
      <c r="Q33" s="61">
        <f t="shared" si="2"/>
        <v>61080.623616631776</v>
      </c>
    </row>
    <row r="34" spans="2:17" x14ac:dyDescent="0.2">
      <c r="B34" s="44">
        <f t="shared" si="4"/>
        <v>2036</v>
      </c>
      <c r="C34" s="45">
        <f t="shared" si="3"/>
        <v>1383.9081732001205</v>
      </c>
      <c r="J34" s="61">
        <f t="shared" si="5"/>
        <v>1538.3939268892325</v>
      </c>
      <c r="K34" s="61">
        <f t="shared" si="6"/>
        <v>1736.1356916112952</v>
      </c>
      <c r="L34" s="61">
        <f t="shared" si="8"/>
        <v>1409.8746684112953</v>
      </c>
      <c r="N34" s="61">
        <f>C34*'8. Control Panel - Aus'!$J$14</f>
        <v>58407.958543384615</v>
      </c>
      <c r="O34" s="61">
        <f t="shared" si="0"/>
        <v>67381.653997748377</v>
      </c>
      <c r="P34" s="61">
        <f t="shared" si="1"/>
        <v>76042.743292574727</v>
      </c>
      <c r="Q34" s="61">
        <f t="shared" si="2"/>
        <v>61752.510476414725</v>
      </c>
    </row>
    <row r="35" spans="2:17" x14ac:dyDescent="0.2">
      <c r="B35" s="44">
        <f t="shared" si="4"/>
        <v>2037</v>
      </c>
      <c r="C35" s="45">
        <f t="shared" si="3"/>
        <v>1399.1311631053218</v>
      </c>
      <c r="J35" s="61">
        <f t="shared" si="5"/>
        <v>1555.3162600850139</v>
      </c>
      <c r="K35" s="61">
        <f t="shared" si="6"/>
        <v>1755.2331842190194</v>
      </c>
      <c r="L35" s="61">
        <f t="shared" si="8"/>
        <v>1425.3832897638194</v>
      </c>
      <c r="N35" s="61">
        <f>C35*'8. Control Panel - Aus'!$J$14</f>
        <v>59050.446087361845</v>
      </c>
      <c r="O35" s="61">
        <f t="shared" si="0"/>
        <v>68122.852191723607</v>
      </c>
      <c r="P35" s="61">
        <f t="shared" si="1"/>
        <v>76879.213468793052</v>
      </c>
      <c r="Q35" s="61">
        <f t="shared" si="2"/>
        <v>62431.788091655289</v>
      </c>
    </row>
    <row r="36" spans="2:17" x14ac:dyDescent="0.2">
      <c r="B36" s="44">
        <f t="shared" si="4"/>
        <v>2038</v>
      </c>
      <c r="C36" s="45">
        <f t="shared" si="3"/>
        <v>1414.5216058994804</v>
      </c>
      <c r="J36" s="61">
        <f t="shared" si="5"/>
        <v>1572.424738945949</v>
      </c>
      <c r="K36" s="61">
        <f t="shared" si="6"/>
        <v>1774.5407492454287</v>
      </c>
      <c r="L36" s="61">
        <f t="shared" si="8"/>
        <v>1441.0625059512215</v>
      </c>
      <c r="N36" s="61">
        <f>C36*'8. Control Panel - Aus'!$J$14</f>
        <v>59700.000994322829</v>
      </c>
      <c r="O36" s="61">
        <f t="shared" si="0"/>
        <v>68872.203565832562</v>
      </c>
      <c r="P36" s="61">
        <f t="shared" si="1"/>
        <v>77724.88481694978</v>
      </c>
      <c r="Q36" s="61">
        <f t="shared" si="2"/>
        <v>63118.537760663501</v>
      </c>
    </row>
    <row r="37" spans="2:17" x14ac:dyDescent="0.2">
      <c r="B37" s="44">
        <f t="shared" si="4"/>
        <v>2039</v>
      </c>
      <c r="C37" s="45">
        <f t="shared" si="3"/>
        <v>1430.0813435643747</v>
      </c>
      <c r="J37" s="61">
        <f t="shared" si="5"/>
        <v>1589.7214110743544</v>
      </c>
      <c r="K37" s="61">
        <f t="shared" si="6"/>
        <v>1794.0606974871284</v>
      </c>
      <c r="L37" s="61">
        <f t="shared" si="8"/>
        <v>1456.9141935166849</v>
      </c>
      <c r="N37" s="61">
        <f>C37*'8. Control Panel - Aus'!$J$14</f>
        <v>60356.70100526038</v>
      </c>
      <c r="O37" s="61">
        <f t="shared" si="0"/>
        <v>69629.797805056718</v>
      </c>
      <c r="P37" s="61">
        <f t="shared" si="1"/>
        <v>78579.858549936223</v>
      </c>
      <c r="Q37" s="61">
        <f t="shared" si="2"/>
        <v>63812.841676030795</v>
      </c>
    </row>
    <row r="38" spans="2:17" x14ac:dyDescent="0.2">
      <c r="B38" s="44">
        <f t="shared" si="4"/>
        <v>2040</v>
      </c>
      <c r="C38" s="45">
        <f t="shared" si="3"/>
        <v>1445.8122383435827</v>
      </c>
      <c r="J38" s="61">
        <f t="shared" si="5"/>
        <v>1607.2083465961723</v>
      </c>
      <c r="K38" s="61">
        <f t="shared" si="6"/>
        <v>1813.7953651594869</v>
      </c>
      <c r="L38" s="61">
        <f t="shared" si="8"/>
        <v>1472.9402496453683</v>
      </c>
      <c r="N38" s="61">
        <f>C38*'8. Control Panel - Aus'!$J$14</f>
        <v>61020.624716318242</v>
      </c>
      <c r="O38" s="61">
        <f t="shared" si="0"/>
        <v>70395.725580912345</v>
      </c>
      <c r="P38" s="61">
        <f t="shared" si="1"/>
        <v>79444.236993985527</v>
      </c>
      <c r="Q38" s="61">
        <f t="shared" si="2"/>
        <v>64514.782934467126</v>
      </c>
    </row>
    <row r="39" spans="2:17" x14ac:dyDescent="0.2">
      <c r="B39" s="44">
        <f t="shared" si="4"/>
        <v>2041</v>
      </c>
      <c r="C39" s="45">
        <f t="shared" si="3"/>
        <v>1461.7161729653621</v>
      </c>
      <c r="J39" s="61">
        <f t="shared" si="5"/>
        <v>1624.8876384087303</v>
      </c>
      <c r="K39" s="61">
        <f t="shared" si="6"/>
        <v>1833.7471141762412</v>
      </c>
      <c r="L39" s="61">
        <f t="shared" si="8"/>
        <v>1489.1425923914674</v>
      </c>
      <c r="N39" s="61">
        <f>C39*'8. Control Panel - Aus'!$J$14</f>
        <v>61691.851588197744</v>
      </c>
      <c r="O39" s="61">
        <f t="shared" si="0"/>
        <v>71170.078562302384</v>
      </c>
      <c r="P39" s="61">
        <f t="shared" si="1"/>
        <v>80318.123600919353</v>
      </c>
      <c r="Q39" s="61">
        <f t="shared" si="2"/>
        <v>65224.445546746269</v>
      </c>
    </row>
    <row r="40" spans="2:17" x14ac:dyDescent="0.2">
      <c r="B40" s="44">
        <f t="shared" si="4"/>
        <v>2042</v>
      </c>
      <c r="C40" s="45">
        <f t="shared" si="3"/>
        <v>1477.7950508679812</v>
      </c>
      <c r="J40" s="61">
        <f t="shared" si="5"/>
        <v>1642.7614024312263</v>
      </c>
      <c r="K40" s="61">
        <f t="shared" si="6"/>
        <v>1853.9183324321798</v>
      </c>
      <c r="L40" s="61">
        <f t="shared" si="8"/>
        <v>1505.5231609077734</v>
      </c>
      <c r="N40" s="61">
        <f>C40*'8. Control Panel - Aus'!$J$14</f>
        <v>62370.461955667917</v>
      </c>
      <c r="O40" s="61">
        <f t="shared" si="0"/>
        <v>71952.949426487714</v>
      </c>
      <c r="P40" s="61">
        <f t="shared" si="1"/>
        <v>81201.622960529465</v>
      </c>
      <c r="Q40" s="61">
        <f t="shared" si="2"/>
        <v>65941.914447760471</v>
      </c>
    </row>
    <row r="41" spans="2:17" x14ac:dyDescent="0.2">
      <c r="B41" s="44">
        <f t="shared" si="4"/>
        <v>2043</v>
      </c>
      <c r="C41" s="45">
        <f t="shared" si="3"/>
        <v>1494.0507964275291</v>
      </c>
      <c r="J41" s="61">
        <f t="shared" si="5"/>
        <v>1660.8317778579699</v>
      </c>
      <c r="K41" s="61">
        <f t="shared" si="6"/>
        <v>1874.3114340889338</v>
      </c>
      <c r="L41" s="61">
        <f t="shared" si="8"/>
        <v>1522.083915677759</v>
      </c>
      <c r="N41" s="61">
        <f>C41*'8. Control Panel - Aus'!$J$14</f>
        <v>63056.537037180271</v>
      </c>
      <c r="O41" s="61">
        <f t="shared" si="0"/>
        <v>72744.431870179076</v>
      </c>
      <c r="P41" s="61">
        <f t="shared" si="1"/>
        <v>82094.840813095288</v>
      </c>
      <c r="Q41" s="61">
        <f t="shared" si="2"/>
        <v>66667.275506685837</v>
      </c>
    </row>
    <row r="42" spans="2:17" x14ac:dyDescent="0.2">
      <c r="B42" s="44">
        <f t="shared" si="4"/>
        <v>2044</v>
      </c>
      <c r="C42" s="45">
        <f t="shared" si="3"/>
        <v>1510.485355188232</v>
      </c>
      <c r="J42" s="61">
        <f t="shared" si="5"/>
        <v>1679.1009274144076</v>
      </c>
      <c r="K42" s="61">
        <f t="shared" si="6"/>
        <v>1894.9288598639121</v>
      </c>
      <c r="L42" s="61">
        <f t="shared" si="8"/>
        <v>1538.8268387502144</v>
      </c>
      <c r="N42" s="61">
        <f>C42*'8. Control Panel - Aus'!$J$14</f>
        <v>63750.158944589253</v>
      </c>
      <c r="O42" s="61">
        <f t="shared" si="0"/>
        <v>73544.62062075104</v>
      </c>
      <c r="P42" s="61">
        <f t="shared" si="1"/>
        <v>82997.884062039346</v>
      </c>
      <c r="Q42" s="61">
        <f t="shared" si="2"/>
        <v>67400.615537259393</v>
      </c>
    </row>
    <row r="43" spans="2:17" x14ac:dyDescent="0.2">
      <c r="B43" s="44">
        <f t="shared" si="4"/>
        <v>2045</v>
      </c>
      <c r="C43" s="45">
        <f t="shared" si="3"/>
        <v>1527.1006940953025</v>
      </c>
      <c r="J43" s="61">
        <f t="shared" si="5"/>
        <v>1697.5710376159661</v>
      </c>
      <c r="K43" s="61">
        <f t="shared" si="6"/>
        <v>1915.773077322415</v>
      </c>
      <c r="L43" s="61">
        <f t="shared" si="8"/>
        <v>1555.7539339764667</v>
      </c>
      <c r="N43" s="61">
        <f>C43*'8. Control Panel - Aus'!$J$14</f>
        <v>64451.410692979734</v>
      </c>
      <c r="O43" s="61">
        <f t="shared" si="0"/>
        <v>74353.611447579315</v>
      </c>
      <c r="P43" s="61">
        <f t="shared" si="1"/>
        <v>83910.860786721765</v>
      </c>
      <c r="Q43" s="61">
        <f t="shared" si="2"/>
        <v>68142.022308169238</v>
      </c>
    </row>
    <row r="44" spans="2:17" x14ac:dyDescent="0.2">
      <c r="B44" s="44">
        <f t="shared" si="4"/>
        <v>2046</v>
      </c>
      <c r="C44" s="45">
        <f t="shared" si="3"/>
        <v>1543.8988017303509</v>
      </c>
      <c r="J44" s="61">
        <f t="shared" si="5"/>
        <v>1716.2443190297417</v>
      </c>
      <c r="K44" s="61">
        <f t="shared" si="6"/>
        <v>1936.8465811729616</v>
      </c>
      <c r="L44" s="61">
        <f t="shared" si="8"/>
        <v>1572.8672272502079</v>
      </c>
      <c r="N44" s="61">
        <f>C44*'8. Control Panel - Aus'!$J$14</f>
        <v>65160.376210602517</v>
      </c>
      <c r="O44" s="61">
        <f t="shared" si="0"/>
        <v>75171.501173502678</v>
      </c>
      <c r="P44" s="61">
        <f t="shared" si="1"/>
        <v>84833.880255375712</v>
      </c>
      <c r="Q44" s="61">
        <f t="shared" si="2"/>
        <v>68891.584553559107</v>
      </c>
    </row>
    <row r="45" spans="2:17" x14ac:dyDescent="0.2">
      <c r="B45" s="44">
        <f t="shared" si="4"/>
        <v>2047</v>
      </c>
      <c r="C45" s="45">
        <f t="shared" si="3"/>
        <v>1560.8816885493848</v>
      </c>
      <c r="J45" s="61">
        <f t="shared" si="5"/>
        <v>1735.1230065390689</v>
      </c>
      <c r="K45" s="61">
        <f t="shared" si="6"/>
        <v>1958.1518935658642</v>
      </c>
      <c r="L45" s="61">
        <f t="shared" si="8"/>
        <v>1590.1687667499602</v>
      </c>
      <c r="N45" s="61">
        <f>C45*'8. Control Panel - Aus'!$J$14</f>
        <v>65877.140348919143</v>
      </c>
      <c r="O45" s="61">
        <f t="shared" si="0"/>
        <v>75998.38768641121</v>
      </c>
      <c r="P45" s="61">
        <f t="shared" si="1"/>
        <v>85767.052938184846</v>
      </c>
      <c r="Q45" s="61">
        <f t="shared" si="2"/>
        <v>69649.391983648253</v>
      </c>
    </row>
    <row r="46" spans="2:17" x14ac:dyDescent="0.2">
      <c r="B46" s="44">
        <f t="shared" si="4"/>
        <v>2048</v>
      </c>
      <c r="C46" s="45">
        <f t="shared" si="3"/>
        <v>1578.051387123428</v>
      </c>
      <c r="J46" s="61">
        <f t="shared" si="5"/>
        <v>1754.2093596109987</v>
      </c>
      <c r="K46" s="61">
        <f t="shared" si="6"/>
        <v>1979.6915643950886</v>
      </c>
      <c r="L46" s="61">
        <f t="shared" si="8"/>
        <v>1607.6606231842097</v>
      </c>
      <c r="N46" s="61">
        <f>C46*'8. Control Panel - Aus'!$J$14</f>
        <v>66601.788892757249</v>
      </c>
      <c r="O46" s="61">
        <f t="shared" si="0"/>
        <v>76834.369950961744</v>
      </c>
      <c r="P46" s="61">
        <f t="shared" si="1"/>
        <v>86710.490520504871</v>
      </c>
      <c r="Q46" s="61">
        <f t="shared" si="2"/>
        <v>70415.535295468377</v>
      </c>
    </row>
    <row r="47" spans="2:17" x14ac:dyDescent="0.2">
      <c r="B47" s="44">
        <f>B46+1</f>
        <v>2049</v>
      </c>
      <c r="C47" s="45">
        <f t="shared" si="3"/>
        <v>1595.4099523817856</v>
      </c>
      <c r="J47" s="61">
        <f t="shared" si="5"/>
        <v>1773.5056625667196</v>
      </c>
      <c r="K47" s="61">
        <f t="shared" si="6"/>
        <v>2001.4681716034345</v>
      </c>
      <c r="L47" s="61">
        <f t="shared" si="8"/>
        <v>1625.3448900392361</v>
      </c>
      <c r="N47" s="61">
        <f>C47*'8. Control Panel - Aus'!$J$14</f>
        <v>67334.40857057758</v>
      </c>
      <c r="O47" s="61">
        <f t="shared" si="0"/>
        <v>77679.548020422313</v>
      </c>
      <c r="P47" s="61">
        <f t="shared" si="1"/>
        <v>87664.305916230427</v>
      </c>
      <c r="Q47" s="61">
        <f t="shared" si="2"/>
        <v>71190.106183718541</v>
      </c>
    </row>
    <row r="48" spans="2:17" x14ac:dyDescent="0.2">
      <c r="B48" s="44">
        <f>B47+1</f>
        <v>2050</v>
      </c>
      <c r="C48" s="45">
        <f t="shared" si="3"/>
        <v>1612.9594618579852</v>
      </c>
      <c r="J48" s="61">
        <f t="shared" si="5"/>
        <v>1793.0142248549535</v>
      </c>
      <c r="K48" s="61">
        <f t="shared" si="6"/>
        <v>2023.4843214910723</v>
      </c>
      <c r="L48" s="61">
        <f t="shared" si="8"/>
        <v>1643.2236838296678</v>
      </c>
      <c r="N48" s="61">
        <f>C48*'8. Control Panel - Aus'!$J$14</f>
        <v>68075.087064853928</v>
      </c>
      <c r="O48" s="61">
        <f t="shared" si="0"/>
        <v>78534.023048646952</v>
      </c>
      <c r="P48" s="61">
        <f t="shared" si="1"/>
        <v>88628.613281308964</v>
      </c>
      <c r="Q48" s="61">
        <f t="shared" si="2"/>
        <v>71973.197351739451</v>
      </c>
    </row>
    <row r="49" spans="1:1" x14ac:dyDescent="0.2">
      <c r="A49" s="41"/>
    </row>
  </sheetData>
  <sheetProtection sheet="1" objects="1" scenarios="1" selectLockedCells="1"/>
  <mergeCells count="23">
    <mergeCell ref="B4:M5"/>
    <mergeCell ref="J19:L20"/>
    <mergeCell ref="B12:D12"/>
    <mergeCell ref="E12:F12"/>
    <mergeCell ref="B13:D13"/>
    <mergeCell ref="E13:F13"/>
    <mergeCell ref="B14:D14"/>
    <mergeCell ref="E14:F14"/>
    <mergeCell ref="B11:D11"/>
    <mergeCell ref="E11:F11"/>
    <mergeCell ref="B7:F8"/>
    <mergeCell ref="B9:D9"/>
    <mergeCell ref="E9:F9"/>
    <mergeCell ref="O22:Q22"/>
    <mergeCell ref="J22:L22"/>
    <mergeCell ref="E20:H21"/>
    <mergeCell ref="N21:N22"/>
    <mergeCell ref="B10:D10"/>
    <mergeCell ref="E10:F10"/>
    <mergeCell ref="B17:Q17"/>
    <mergeCell ref="N19:Q20"/>
    <mergeCell ref="B15:D15"/>
    <mergeCell ref="E15:F15"/>
  </mergeCell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3AF8B-735B-4F56-916A-ECA32DB1E7FF}">
  <sheetPr codeName="Tabelle11">
    <tabColor theme="7"/>
  </sheetPr>
  <dimension ref="B1:P57"/>
  <sheetViews>
    <sheetView zoomScale="55" zoomScaleNormal="55" workbookViewId="0">
      <selection activeCell="F21" sqref="F21"/>
    </sheetView>
  </sheetViews>
  <sheetFormatPr baseColWidth="10" defaultColWidth="11" defaultRowHeight="14.25" x14ac:dyDescent="0.2"/>
  <cols>
    <col min="1" max="1" width="2.125" style="20" customWidth="1"/>
    <col min="2" max="2" width="15.5" style="20" customWidth="1"/>
    <col min="3" max="3" width="17" style="20" customWidth="1"/>
    <col min="4" max="4" width="11" style="20" customWidth="1"/>
    <col min="5" max="8" width="11" style="20"/>
    <col min="9" max="9" width="14.625" style="20" customWidth="1"/>
    <col min="10" max="10" width="13.375" style="20" customWidth="1"/>
    <col min="11" max="11" width="13.625" style="20" customWidth="1"/>
    <col min="12" max="12" width="11" style="20"/>
    <col min="13" max="13" width="11.25" style="20" customWidth="1"/>
    <col min="14" max="14" width="16" style="20" customWidth="1"/>
    <col min="15" max="18" width="11" style="20"/>
    <col min="19" max="19" width="11.75" style="20" customWidth="1"/>
    <col min="20" max="20" width="11.875" style="20" customWidth="1"/>
    <col min="21" max="23" width="11" style="20"/>
    <col min="24" max="24" width="11.75" style="20" customWidth="1"/>
    <col min="25" max="26" width="11" style="20"/>
    <col min="27" max="27" width="12.25" style="20" customWidth="1"/>
    <col min="28" max="28" width="11.25" style="20" customWidth="1"/>
    <col min="29" max="31" width="11" style="20"/>
    <col min="32" max="32" width="13" style="20" customWidth="1"/>
    <col min="33" max="35" width="11" style="20"/>
    <col min="36" max="36" width="13.25" style="20" customWidth="1"/>
    <col min="37" max="37" width="12.625" style="20" customWidth="1"/>
    <col min="38" max="38" width="11" style="20"/>
    <col min="39" max="39" width="11.75" style="20" customWidth="1"/>
    <col min="40" max="41" width="12" style="20" customWidth="1"/>
    <col min="42" max="42" width="11.625" style="20" customWidth="1"/>
    <col min="43" max="43" width="12" style="20" customWidth="1"/>
    <col min="44" max="44" width="12.125" style="20" customWidth="1"/>
    <col min="45" max="45" width="11.625" style="20" customWidth="1"/>
    <col min="46" max="46" width="12.125" style="20" customWidth="1"/>
    <col min="47" max="16384" width="11" style="20"/>
  </cols>
  <sheetData>
    <row r="1" spans="2:16" ht="10.5" customHeight="1" x14ac:dyDescent="0.2"/>
    <row r="2" spans="2:16" s="1" customFormat="1" ht="23.45" customHeight="1" x14ac:dyDescent="0.2">
      <c r="B2" s="2" t="s">
        <v>165</v>
      </c>
    </row>
    <row r="3" spans="2:16" ht="25.15" customHeight="1" x14ac:dyDescent="0.2"/>
    <row r="4" spans="2:16" ht="25.15" customHeight="1" x14ac:dyDescent="0.2">
      <c r="B4" s="81" t="s">
        <v>321</v>
      </c>
      <c r="C4" s="150"/>
      <c r="D4" s="150"/>
      <c r="E4" s="150"/>
      <c r="F4" s="150"/>
      <c r="G4" s="150"/>
      <c r="H4" s="150"/>
      <c r="I4" s="150"/>
      <c r="J4" s="150"/>
      <c r="K4" s="150"/>
      <c r="L4" s="150"/>
      <c r="M4" s="150"/>
      <c r="N4" s="150"/>
      <c r="O4" s="150"/>
      <c r="P4" s="150"/>
    </row>
    <row r="5" spans="2:16" ht="25.15" customHeight="1" x14ac:dyDescent="0.2">
      <c r="B5" s="150"/>
      <c r="C5" s="150"/>
      <c r="D5" s="150"/>
      <c r="E5" s="150"/>
      <c r="F5" s="150"/>
      <c r="G5" s="150"/>
      <c r="H5" s="150"/>
      <c r="I5" s="150"/>
      <c r="J5" s="150"/>
      <c r="K5" s="150"/>
      <c r="L5" s="150"/>
      <c r="M5" s="150"/>
      <c r="N5" s="150"/>
      <c r="O5" s="150"/>
      <c r="P5" s="150"/>
    </row>
    <row r="6" spans="2:16" ht="25.15" customHeight="1" x14ac:dyDescent="0.2"/>
    <row r="7" spans="2:16" ht="25.15" customHeight="1" x14ac:dyDescent="0.2">
      <c r="B7" s="130" t="s">
        <v>326</v>
      </c>
      <c r="C7" s="130"/>
      <c r="D7" s="130"/>
      <c r="E7" s="130"/>
      <c r="F7" s="130"/>
    </row>
    <row r="8" spans="2:16" ht="27.75" customHeight="1" x14ac:dyDescent="0.2">
      <c r="B8" s="130"/>
      <c r="C8" s="130"/>
      <c r="D8" s="130"/>
      <c r="E8" s="130"/>
      <c r="F8" s="130"/>
    </row>
    <row r="9" spans="2:16" ht="40.5" customHeight="1" x14ac:dyDescent="0.2">
      <c r="B9" s="103" t="str">
        <f>'8. Control Panel - Aus'!C9</f>
        <v>2023 Aus Population Growth Rate</v>
      </c>
      <c r="C9" s="103"/>
      <c r="D9" s="103"/>
      <c r="E9" s="100">
        <f>_2023_Aus_Population_Growth_Rate</f>
        <v>1.0999999999999999E-2</v>
      </c>
      <c r="F9" s="100"/>
    </row>
    <row r="10" spans="2:16" ht="25.15" customHeight="1" x14ac:dyDescent="0.2">
      <c r="B10" s="103" t="str">
        <f>'2. Control Panel - Lüderitz'!C11</f>
        <v>Census Year</v>
      </c>
      <c r="C10" s="103"/>
      <c r="D10" s="103"/>
      <c r="E10" s="101">
        <f>'8. Control Panel - Aus'!D10</f>
        <v>2023</v>
      </c>
      <c r="F10" s="101"/>
    </row>
    <row r="11" spans="2:16" ht="25.15" customHeight="1" x14ac:dyDescent="0.2">
      <c r="B11" s="103" t="str">
        <f>'2. Control Panel - Lüderitz'!C12</f>
        <v>Census Year Population</v>
      </c>
      <c r="C11" s="103"/>
      <c r="D11" s="103"/>
      <c r="E11" s="102">
        <f>Aus_2023Census_Pop</f>
        <v>1200</v>
      </c>
      <c r="F11" s="102"/>
    </row>
    <row r="12" spans="2:16" ht="25.15" customHeight="1" x14ac:dyDescent="0.2">
      <c r="B12" s="103" t="str">
        <f>'2. Control Panel - Lüderitz'!C13</f>
        <v>Average Namibian Household Size</v>
      </c>
      <c r="C12" s="103"/>
      <c r="D12" s="103"/>
      <c r="E12" s="103">
        <f>Household_Size</f>
        <v>3.8</v>
      </c>
      <c r="F12" s="103"/>
    </row>
    <row r="13" spans="2:16" ht="25.15" customHeight="1" x14ac:dyDescent="0.2">
      <c r="B13" s="103" t="str">
        <f>'2. Control Panel - Lüderitz'!F11</f>
        <v>Relocation Factor</v>
      </c>
      <c r="C13" s="103"/>
      <c r="D13" s="103"/>
      <c r="E13" s="104">
        <f>RelocationFactor</f>
        <v>0.6</v>
      </c>
      <c r="F13" s="104"/>
    </row>
    <row r="14" spans="2:16" ht="39.75" customHeight="1" x14ac:dyDescent="0.2">
      <c r="B14" s="103" t="str">
        <f>'2. Control Panel - Lüderitz'!F12</f>
        <v>Resident / Job Multiplier (residents per job)</v>
      </c>
      <c r="C14" s="103"/>
      <c r="D14" s="103"/>
      <c r="E14" s="103">
        <f>Resident_Job_Multiplier</f>
        <v>2.2799999999999998</v>
      </c>
      <c r="F14" s="103"/>
    </row>
    <row r="15" spans="2:16" ht="43.5" customHeight="1" x14ac:dyDescent="0.2">
      <c r="B15" s="103" t="str">
        <f>'2. Control Panel - Lüderitz'!F13</f>
        <v>Resident / Job Multiplier (without hydrogen worker)</v>
      </c>
      <c r="C15" s="103"/>
      <c r="D15" s="103"/>
      <c r="E15" s="103">
        <f>Resident__Job_Multiplier_wO_H2_worker</f>
        <v>1.68</v>
      </c>
      <c r="F15" s="103"/>
    </row>
    <row r="16" spans="2:16" ht="25.15" customHeight="1" x14ac:dyDescent="0.2"/>
    <row r="17" spans="2:14" ht="25.15" customHeight="1" x14ac:dyDescent="0.2">
      <c r="B17" s="152" t="s">
        <v>325</v>
      </c>
      <c r="C17" s="152"/>
      <c r="D17" s="152"/>
      <c r="E17" s="152"/>
      <c r="F17" s="152"/>
      <c r="G17" s="152"/>
    </row>
    <row r="18" spans="2:14" ht="25.15" customHeight="1" x14ac:dyDescent="0.2">
      <c r="D18" s="152">
        <v>2030</v>
      </c>
      <c r="E18" s="152"/>
      <c r="F18" s="152"/>
      <c r="G18" s="79">
        <v>2050</v>
      </c>
    </row>
    <row r="19" spans="2:14" ht="25.15" customHeight="1" x14ac:dyDescent="0.2">
      <c r="B19" s="152" t="s">
        <v>231</v>
      </c>
      <c r="C19" s="152"/>
      <c r="D19" s="72" t="s">
        <v>232</v>
      </c>
      <c r="E19" s="72" t="s">
        <v>233</v>
      </c>
      <c r="F19" s="72" t="s">
        <v>234</v>
      </c>
      <c r="G19" s="72" t="s">
        <v>232</v>
      </c>
    </row>
    <row r="20" spans="2:14" ht="25.15" customHeight="1" x14ac:dyDescent="0.2">
      <c r="B20" s="73" t="s">
        <v>235</v>
      </c>
      <c r="C20" s="61">
        <f>'8. Control Panel - Aus'!J21</f>
        <v>193.6</v>
      </c>
      <c r="D20" s="71">
        <f>($I$35/365)-C20</f>
        <v>22.448341707067442</v>
      </c>
      <c r="E20" s="71">
        <f>($J$35/365)-C20</f>
        <v>44.669808280891431</v>
      </c>
      <c r="F20" s="71">
        <f>($K$35/365)-C20</f>
        <v>44.669808280891431</v>
      </c>
      <c r="G20" s="71">
        <f>($I$55/365)-C20</f>
        <v>64.731196962044493</v>
      </c>
    </row>
    <row r="21" spans="2:14" ht="25.15" customHeight="1" x14ac:dyDescent="0.2">
      <c r="B21" s="73" t="s">
        <v>236</v>
      </c>
      <c r="C21" s="25">
        <v>610</v>
      </c>
      <c r="D21" s="71">
        <f>($I$35/365)-C21</f>
        <v>-393.95165829293256</v>
      </c>
      <c r="E21" s="71">
        <f>($J$35/365)-C21</f>
        <v>-371.73019171910857</v>
      </c>
      <c r="F21" s="71">
        <f>($K$35/365)-C21</f>
        <v>-371.73019171910857</v>
      </c>
      <c r="G21" s="71">
        <f>($I$55/365)-C21</f>
        <v>-351.66880303795551</v>
      </c>
    </row>
    <row r="22" spans="2:14" ht="25.15" customHeight="1" x14ac:dyDescent="0.2">
      <c r="B22" s="73" t="s">
        <v>237</v>
      </c>
      <c r="C22" s="25">
        <v>360</v>
      </c>
      <c r="D22" s="71">
        <f>($I$35/365)-C22</f>
        <v>-143.95165829293256</v>
      </c>
      <c r="E22" s="71">
        <f>($J$35/365)-C22</f>
        <v>-121.73019171910857</v>
      </c>
      <c r="F22" s="71">
        <f>($K$35/365)-C22</f>
        <v>-121.73019171910857</v>
      </c>
      <c r="G22" s="71">
        <f>($I$55/365)-C22</f>
        <v>-101.66880303795551</v>
      </c>
    </row>
    <row r="23" spans="2:14" ht="25.15" customHeight="1" x14ac:dyDescent="0.2"/>
    <row r="24" spans="2:14" ht="25.15" customHeight="1" x14ac:dyDescent="0.2"/>
    <row r="25" spans="2:14" s="39" customFormat="1" ht="23.45" customHeight="1" x14ac:dyDescent="0.2">
      <c r="B25" s="154" t="s">
        <v>75</v>
      </c>
      <c r="C25" s="154"/>
      <c r="D25" s="154"/>
      <c r="E25" s="154"/>
      <c r="F25" s="154"/>
      <c r="G25" s="154"/>
      <c r="H25" s="154"/>
      <c r="I25" s="154"/>
      <c r="J25" s="154"/>
      <c r="K25" s="154"/>
      <c r="L25" s="154"/>
      <c r="M25" s="154"/>
      <c r="N25" s="154"/>
    </row>
    <row r="26" spans="2:14" ht="16.5" customHeight="1" x14ac:dyDescent="0.2"/>
    <row r="27" spans="2:14" ht="16.5" x14ac:dyDescent="0.2">
      <c r="D27" s="151"/>
      <c r="E27" s="151"/>
      <c r="F27" s="151"/>
      <c r="I27" s="153" t="s">
        <v>175</v>
      </c>
      <c r="J27" s="153"/>
      <c r="K27" s="153"/>
    </row>
    <row r="28" spans="2:14" ht="73.7" customHeight="1" x14ac:dyDescent="0.25">
      <c r="D28" s="108" t="s">
        <v>174</v>
      </c>
      <c r="E28" s="108"/>
      <c r="F28" s="108"/>
      <c r="I28" s="78" t="s">
        <v>317</v>
      </c>
      <c r="J28" s="78" t="s">
        <v>318</v>
      </c>
      <c r="K28" s="78" t="s">
        <v>319</v>
      </c>
    </row>
    <row r="29" spans="2:14" ht="67.150000000000006" customHeight="1" x14ac:dyDescent="0.2">
      <c r="B29" s="56" t="s">
        <v>34</v>
      </c>
      <c r="C29" s="40"/>
      <c r="D29" s="57" t="s">
        <v>176</v>
      </c>
      <c r="E29" s="57" t="s">
        <v>161</v>
      </c>
      <c r="F29" s="57" t="s">
        <v>177</v>
      </c>
      <c r="H29" s="57" t="s">
        <v>207</v>
      </c>
      <c r="I29" s="110" t="s">
        <v>170</v>
      </c>
      <c r="J29" s="111"/>
      <c r="K29" s="112"/>
      <c r="L29" s="40"/>
      <c r="M29" s="57" t="s">
        <v>34</v>
      </c>
      <c r="N29" s="57" t="s">
        <v>220</v>
      </c>
    </row>
    <row r="30" spans="2:14" x14ac:dyDescent="0.2">
      <c r="B30" s="42">
        <f>Start_Aus_Scenarios</f>
        <v>2025</v>
      </c>
      <c r="D30" s="45">
        <f>Aus_NonDomestic*365</f>
        <v>12636.863842499279</v>
      </c>
      <c r="E30" s="45">
        <v>0</v>
      </c>
      <c r="F30" s="45">
        <f>SUM(D30:E30)</f>
        <v>12636.863842499279</v>
      </c>
      <c r="H30" s="61">
        <f>D30+'9. Aus Pop &amp; Domestic Demand'!N23</f>
        <v>64422.5</v>
      </c>
      <c r="I30" s="61">
        <f>F30+'9. Aus Pop &amp; Domestic Demand'!O23</f>
        <v>66379.463842499274</v>
      </c>
      <c r="J30" s="61">
        <f>F30+'9. Aus Pop &amp; Domestic Demand'!P23</f>
        <v>66379.463842499274</v>
      </c>
      <c r="K30" s="61">
        <f>F30+'9. Aus Pop &amp; Domestic Demand'!Q23</f>
        <v>66379.463842499274</v>
      </c>
      <c r="M30" s="25">
        <v>2023</v>
      </c>
      <c r="N30" s="61">
        <f>'11. Aus Background Data'!E41*365</f>
        <v>60061.020100000009</v>
      </c>
    </row>
    <row r="31" spans="2:14" x14ac:dyDescent="0.2">
      <c r="B31" s="44">
        <f>B30+1</f>
        <v>2026</v>
      </c>
      <c r="D31" s="45">
        <f t="shared" ref="D31:D55" si="0">Aus_NonDomestic*365</f>
        <v>12636.863842499279</v>
      </c>
      <c r="E31" s="45">
        <v>0</v>
      </c>
      <c r="F31" s="45">
        <f t="shared" ref="F31:F55" si="1">SUM(D31:E31)</f>
        <v>12636.863842499279</v>
      </c>
      <c r="H31" s="61">
        <f>D31+'9. Aus Pop &amp; Domestic Demand'!N24</f>
        <v>64992.141997732499</v>
      </c>
      <c r="I31" s="61">
        <f>F31+'9. Aus Pop &amp; Domestic Demand'!O24</f>
        <v>66970.632442499278</v>
      </c>
      <c r="J31" s="61">
        <f>F31+'9. Aus Pop &amp; Domestic Demand'!P24</f>
        <v>66970.632442499278</v>
      </c>
      <c r="K31" s="61">
        <f>F31+'9. Aus Pop &amp; Domestic Demand'!Q24</f>
        <v>66970.632442499278</v>
      </c>
      <c r="M31" s="25">
        <v>2024</v>
      </c>
      <c r="N31" s="61">
        <f>N30+(N30*0.011)</f>
        <v>60721.691321100006</v>
      </c>
    </row>
    <row r="32" spans="2:14" x14ac:dyDescent="0.2">
      <c r="B32" s="44">
        <f t="shared" ref="B32:B53" si="2">B31+1</f>
        <v>2027</v>
      </c>
      <c r="D32" s="45">
        <f t="shared" si="0"/>
        <v>12636.863842499279</v>
      </c>
      <c r="E32" s="45">
        <v>0</v>
      </c>
      <c r="F32" s="45">
        <f t="shared" si="1"/>
        <v>12636.863842499279</v>
      </c>
      <c r="H32" s="61">
        <f>D32+'9. Aus Pop &amp; Domestic Demand'!N25</f>
        <v>65568.050057440079</v>
      </c>
      <c r="I32" s="61">
        <f>F32+'9. Aus Pop &amp; Domestic Demand'!O25</f>
        <v>73700.303897099278</v>
      </c>
      <c r="J32" s="61">
        <f>F32+'9. Aus Pop &amp; Domestic Demand'!P25</f>
        <v>81549.263897099285</v>
      </c>
      <c r="K32" s="61">
        <f>F32+'9. Aus Pop &amp; Domestic Demand'!Q25</f>
        <v>81549.263897099285</v>
      </c>
      <c r="M32" s="76">
        <v>2025</v>
      </c>
      <c r="N32" s="77">
        <f>N31+(N31*0.011)</f>
        <v>61389.629925632107</v>
      </c>
    </row>
    <row r="33" spans="2:15" x14ac:dyDescent="0.2">
      <c r="B33" s="44">
        <f t="shared" si="2"/>
        <v>2028</v>
      </c>
      <c r="D33" s="45">
        <f t="shared" si="0"/>
        <v>12636.863842499279</v>
      </c>
      <c r="E33" s="45">
        <f>IF(B33&lt;'8. Control Panel - Aus'!$M$19,"",'8. Control Panel - Aus'!$M$21)</f>
        <v>3120</v>
      </c>
      <c r="F33" s="45">
        <f t="shared" si="1"/>
        <v>15756.863842499279</v>
      </c>
      <c r="H33" s="61">
        <f>D33+'9. Aus Pop &amp; Domestic Demand'!N26</f>
        <v>66150.29310580442</v>
      </c>
      <c r="I33" s="61">
        <f>F33+'9. Aus Pop &amp; Domestic Demand'!O26</f>
        <v>77492.001737699873</v>
      </c>
      <c r="J33" s="61">
        <f>F33+'9. Aus Pop &amp; Domestic Demand'!P26</f>
        <v>85427.300297699883</v>
      </c>
      <c r="K33" s="61">
        <f>F33+'9. Aus Pop &amp; Domestic Demand'!Q26</f>
        <v>85427.300297699883</v>
      </c>
      <c r="M33" s="25">
        <v>2026</v>
      </c>
      <c r="N33" s="61">
        <f t="shared" ref="N33:N57" si="3">N32+(N32*0.011)</f>
        <v>62064.915854814062</v>
      </c>
    </row>
    <row r="34" spans="2:15" x14ac:dyDescent="0.2">
      <c r="B34" s="44">
        <f t="shared" si="2"/>
        <v>2029</v>
      </c>
      <c r="D34" s="45">
        <f t="shared" si="0"/>
        <v>12636.863842499279</v>
      </c>
      <c r="E34" s="45">
        <f>IF(B34&lt;'8. Control Panel - Aus'!$M$19,"",'8. Control Panel - Aus'!$M$21)</f>
        <v>3120</v>
      </c>
      <c r="F34" s="45">
        <f t="shared" si="1"/>
        <v>15756.863842499279</v>
      </c>
      <c r="H34" s="61">
        <f>D34+'9. Aus Pop &amp; Domestic Demand'!N27</f>
        <v>66738.940827700775</v>
      </c>
      <c r="I34" s="61">
        <f>F34+'9. Aus Pop &amp; Domestic Demand'!O27</f>
        <v>78171.088254547096</v>
      </c>
      <c r="J34" s="61">
        <f>F34+'9. Aus Pop &amp; Domestic Demand'!P27</f>
        <v>86193.675098707085</v>
      </c>
      <c r="K34" s="61">
        <f>F34+'9. Aus Pop &amp; Domestic Demand'!Q27</f>
        <v>86193.675098707085</v>
      </c>
      <c r="M34" s="25">
        <v>2027</v>
      </c>
      <c r="N34" s="61">
        <f t="shared" si="3"/>
        <v>62747.629929217015</v>
      </c>
    </row>
    <row r="35" spans="2:15" x14ac:dyDescent="0.2">
      <c r="B35" s="44">
        <f t="shared" si="2"/>
        <v>2030</v>
      </c>
      <c r="D35" s="45">
        <f t="shared" si="0"/>
        <v>12636.863842499279</v>
      </c>
      <c r="E35" s="45">
        <f>IF(B35&lt;'8. Control Panel - Aus'!$M$19,"",'8. Control Panel - Aus'!$M$21)</f>
        <v>3120</v>
      </c>
      <c r="F35" s="45">
        <f t="shared" si="1"/>
        <v>15756.863842499279</v>
      </c>
      <c r="H35" s="61">
        <f>D35+'9. Aus Pop &amp; Domestic Demand'!N28</f>
        <v>67334.063674537989</v>
      </c>
      <c r="I35" s="61">
        <f>F35+'9. Aus Pop &amp; Domestic Demand'!O28</f>
        <v>78857.644723079618</v>
      </c>
      <c r="J35" s="61">
        <f>F35+'9. Aus Pop &amp; Domestic Demand'!P28</f>
        <v>86968.480022525371</v>
      </c>
      <c r="K35" s="61">
        <f>F35+'9. Aus Pop &amp; Domestic Demand'!Q28</f>
        <v>86968.480022525371</v>
      </c>
      <c r="M35" s="25">
        <v>2028</v>
      </c>
      <c r="N35" s="61">
        <f t="shared" si="3"/>
        <v>63437.8538584384</v>
      </c>
    </row>
    <row r="36" spans="2:15" x14ac:dyDescent="0.2">
      <c r="B36" s="44">
        <f t="shared" si="2"/>
        <v>2031</v>
      </c>
      <c r="D36" s="45">
        <f t="shared" si="0"/>
        <v>12636.863842499279</v>
      </c>
      <c r="E36" s="45">
        <f>IF(B36&lt;'8. Control Panel - Aus'!$M$19,"",'8. Control Panel - Aus'!$M$21)</f>
        <v>3120</v>
      </c>
      <c r="F36" s="45">
        <f t="shared" si="1"/>
        <v>15756.863842499279</v>
      </c>
      <c r="H36" s="61">
        <f>D36+'9. Aus Pop &amp; Domestic Demand'!N29</f>
        <v>67935.732872690409</v>
      </c>
      <c r="I36" s="61">
        <f>F36+'9. Aus Pop &amp; Domestic Demand'!O29</f>
        <v>79551.753312765999</v>
      </c>
      <c r="J36" s="61">
        <f>F36+'9. Aus Pop &amp; Domestic Demand'!P29</f>
        <v>87751.80780050566</v>
      </c>
      <c r="K36" s="61">
        <f>F36+'9. Aus Pop &amp; Domestic Demand'!Q29</f>
        <v>87751.80780050566</v>
      </c>
      <c r="M36" s="25">
        <v>2029</v>
      </c>
      <c r="N36" s="61">
        <f t="shared" si="3"/>
        <v>64135.670250881223</v>
      </c>
    </row>
    <row r="37" spans="2:15" x14ac:dyDescent="0.2">
      <c r="B37" s="44">
        <f t="shared" si="2"/>
        <v>2032</v>
      </c>
      <c r="D37" s="45">
        <f t="shared" si="0"/>
        <v>12636.863842499279</v>
      </c>
      <c r="E37" s="45">
        <f>IF(B37&lt;'8. Control Panel - Aus'!$M$19,"",'8. Control Panel - Aus'!$M$21)</f>
        <v>3120</v>
      </c>
      <c r="F37" s="45">
        <f t="shared" si="1"/>
        <v>15756.863842499279</v>
      </c>
      <c r="H37" s="61">
        <f>D37+'9. Aus Pop &amp; Domestic Demand'!N30</f>
        <v>68544.020432022517</v>
      </c>
      <c r="I37" s="61">
        <f>F37+'9. Aus Pop &amp; Domestic Demand'!O30</f>
        <v>80253.49709693894</v>
      </c>
      <c r="J37" s="61">
        <f>F37+'9. Aus Pop &amp; Domestic Demand'!P30</f>
        <v>88543.752184043726</v>
      </c>
      <c r="K37" s="61">
        <f>F37+'9. Aus Pop &amp; Domestic Demand'!Q30</f>
        <v>88543.752184043726</v>
      </c>
      <c r="M37" s="25">
        <v>2030</v>
      </c>
      <c r="N37" s="61">
        <f t="shared" si="3"/>
        <v>64841.162623640914</v>
      </c>
    </row>
    <row r="38" spans="2:15" x14ac:dyDescent="0.2">
      <c r="B38" s="44">
        <f t="shared" si="2"/>
        <v>2033</v>
      </c>
      <c r="D38" s="45">
        <f t="shared" si="0"/>
        <v>12636.863842499279</v>
      </c>
      <c r="E38" s="45">
        <f>IF(B38&lt;'8. Control Panel - Aus'!$M$19,"",'8. Control Panel - Aus'!$M$21)</f>
        <v>3120</v>
      </c>
      <c r="F38" s="45">
        <f t="shared" si="1"/>
        <v>15756.863842499279</v>
      </c>
      <c r="H38" s="61">
        <f>D38+'9. Aus Pop &amp; Domestic Demand'!N31</f>
        <v>69158.99915450727</v>
      </c>
      <c r="I38" s="61">
        <f>F38+'9. Aus Pop &amp; Domestic Demand'!O31</f>
        <v>80962.96006273778</v>
      </c>
      <c r="J38" s="61">
        <f>F38+'9. Aus Pop &amp; Domestic Demand'!P31</f>
        <v>89344.407955800722</v>
      </c>
      <c r="K38" s="61">
        <f>F38+'9. Aus Pop &amp; Domestic Demand'!Q31</f>
        <v>89344.407955800722</v>
      </c>
      <c r="M38" s="25">
        <v>2031</v>
      </c>
      <c r="N38" s="61">
        <f t="shared" si="3"/>
        <v>65554.415412500966</v>
      </c>
    </row>
    <row r="39" spans="2:15" x14ac:dyDescent="0.2">
      <c r="B39" s="44">
        <f t="shared" si="2"/>
        <v>2034</v>
      </c>
      <c r="D39" s="45">
        <f t="shared" si="0"/>
        <v>12636.863842499279</v>
      </c>
      <c r="E39" s="45">
        <f>IF(B39&lt;'8. Control Panel - Aus'!$M$19,"",'8. Control Panel - Aus'!$M$21)</f>
        <v>3120</v>
      </c>
      <c r="F39" s="45">
        <f t="shared" si="1"/>
        <v>15756.863842499279</v>
      </c>
      <c r="H39" s="61">
        <f>D39+'9. Aus Pop &amp; Domestic Demand'!N32</f>
        <v>69780.742642939353</v>
      </c>
      <c r="I39" s="61">
        <f>F39+'9. Aus Pop &amp; Domestic Demand'!O32</f>
        <v>81680.227121160395</v>
      </c>
      <c r="J39" s="61">
        <f>F39+'9. Aus Pop &amp; Domestic Demand'!P32</f>
        <v>90153.870941047033</v>
      </c>
      <c r="K39" s="61">
        <f>F39+'9. Aus Pop &amp; Domestic Demand'!Q32</f>
        <v>76172.910941047026</v>
      </c>
      <c r="M39" s="25">
        <v>2032</v>
      </c>
      <c r="N39" s="61">
        <f t="shared" si="3"/>
        <v>66275.513982038479</v>
      </c>
    </row>
    <row r="40" spans="2:15" x14ac:dyDescent="0.2">
      <c r="B40" s="44">
        <f t="shared" si="2"/>
        <v>2035</v>
      </c>
      <c r="D40" s="45">
        <f t="shared" si="0"/>
        <v>12636.863842499279</v>
      </c>
      <c r="E40" s="45">
        <f>IF(B40&lt;'8. Control Panel - Aus'!$M$19,"",'8. Control Panel - Aus'!$M$21)</f>
        <v>3120</v>
      </c>
      <c r="F40" s="45">
        <f t="shared" si="1"/>
        <v>15756.863842499279</v>
      </c>
      <c r="H40" s="61">
        <f>D40+'9. Aus Pop &amp; Domestic Demand'!N33</f>
        <v>70409.325309744192</v>
      </c>
      <c r="I40" s="61">
        <f>F40+'9. Aus Pop &amp; Domestic Demand'!O33</f>
        <v>82405.384117225665</v>
      </c>
      <c r="J40" s="61">
        <f>F40+'9. Aus Pop &amp; Domestic Demand'!P33</f>
        <v>90972.238019131051</v>
      </c>
      <c r="K40" s="61">
        <f>F40+'9. Aus Pop &amp; Domestic Demand'!Q33</f>
        <v>76837.487459131051</v>
      </c>
      <c r="M40" s="25">
        <v>2033</v>
      </c>
      <c r="N40" s="61">
        <f t="shared" si="3"/>
        <v>67004.544635840895</v>
      </c>
    </row>
    <row r="41" spans="2:15" x14ac:dyDescent="0.2">
      <c r="B41" s="44">
        <f t="shared" si="2"/>
        <v>2036</v>
      </c>
      <c r="D41" s="45">
        <f t="shared" si="0"/>
        <v>12636.863842499279</v>
      </c>
      <c r="E41" s="45">
        <f>IF(B41&lt;'8. Control Panel - Aus'!$M$19,"",'8. Control Panel - Aus'!$M$21)</f>
        <v>3120</v>
      </c>
      <c r="F41" s="45">
        <f t="shared" si="1"/>
        <v>15756.863842499279</v>
      </c>
      <c r="H41" s="61">
        <f>D41+'9. Aus Pop &amp; Domestic Demand'!N34</f>
        <v>71044.82238588389</v>
      </c>
      <c r="I41" s="61">
        <f>F41+'9. Aus Pop &amp; Domestic Demand'!O34</f>
        <v>83138.517840247659</v>
      </c>
      <c r="J41" s="61">
        <f>F41+'9. Aus Pop &amp; Domestic Demand'!P34</f>
        <v>91799.607135074009</v>
      </c>
      <c r="K41" s="61">
        <f>F41+'9. Aus Pop &amp; Domestic Demand'!Q34</f>
        <v>77509.374318914008</v>
      </c>
      <c r="M41" s="25">
        <v>2034</v>
      </c>
      <c r="N41" s="61">
        <f t="shared" si="3"/>
        <v>67741.59462683514</v>
      </c>
    </row>
    <row r="42" spans="2:15" x14ac:dyDescent="0.2">
      <c r="B42" s="44">
        <f t="shared" si="2"/>
        <v>2037</v>
      </c>
      <c r="D42" s="45">
        <f t="shared" si="0"/>
        <v>12636.863842499279</v>
      </c>
      <c r="E42" s="45">
        <f>IF(B42&lt;'8. Control Panel - Aus'!$M$19,"",'8. Control Panel - Aus'!$M$21)</f>
        <v>3120</v>
      </c>
      <c r="F42" s="45">
        <f t="shared" si="1"/>
        <v>15756.863842499279</v>
      </c>
      <c r="H42" s="61">
        <f>D42+'9. Aus Pop &amp; Domestic Demand'!N35</f>
        <v>71687.30992986112</v>
      </c>
      <c r="I42" s="61">
        <f>F42+'9. Aus Pop &amp; Domestic Demand'!O35</f>
        <v>83879.716034222889</v>
      </c>
      <c r="J42" s="61">
        <f>F42+'9. Aus Pop &amp; Domestic Demand'!P35</f>
        <v>92636.077311292334</v>
      </c>
      <c r="K42" s="61">
        <f>F42+'9. Aus Pop &amp; Domestic Demand'!Q35</f>
        <v>78188.651934154565</v>
      </c>
      <c r="M42" s="25">
        <v>2035</v>
      </c>
      <c r="N42" s="61">
        <f t="shared" si="3"/>
        <v>68486.75216773033</v>
      </c>
    </row>
    <row r="43" spans="2:15" x14ac:dyDescent="0.2">
      <c r="B43" s="44">
        <f t="shared" si="2"/>
        <v>2038</v>
      </c>
      <c r="D43" s="45">
        <f t="shared" si="0"/>
        <v>12636.863842499279</v>
      </c>
      <c r="E43" s="45">
        <f>IF(B43&lt;'8. Control Panel - Aus'!$M$19,"",'8. Control Panel - Aus'!$M$21)</f>
        <v>3120</v>
      </c>
      <c r="F43" s="45">
        <f t="shared" si="1"/>
        <v>15756.863842499279</v>
      </c>
      <c r="H43" s="61">
        <f>D43+'9. Aus Pop &amp; Domestic Demand'!N36</f>
        <v>72336.864836822104</v>
      </c>
      <c r="I43" s="61">
        <f>F43+'9. Aus Pop &amp; Domestic Demand'!O36</f>
        <v>84629.067408331844</v>
      </c>
      <c r="J43" s="61">
        <f>F43+'9. Aus Pop &amp; Domestic Demand'!P36</f>
        <v>93481.748659449062</v>
      </c>
      <c r="K43" s="61">
        <f>F43+'9. Aus Pop &amp; Domestic Demand'!Q36</f>
        <v>78875.401603162783</v>
      </c>
      <c r="M43" s="25">
        <v>2036</v>
      </c>
      <c r="N43" s="61">
        <f t="shared" si="3"/>
        <v>69240.106441575364</v>
      </c>
    </row>
    <row r="44" spans="2:15" x14ac:dyDescent="0.2">
      <c r="B44" s="44">
        <f t="shared" si="2"/>
        <v>2039</v>
      </c>
      <c r="D44" s="45">
        <f t="shared" si="0"/>
        <v>12636.863842499279</v>
      </c>
      <c r="E44" s="45">
        <f>IF(B44&lt;'8. Control Panel - Aus'!$M$19,"",'8. Control Panel - Aus'!$M$21)</f>
        <v>3120</v>
      </c>
      <c r="F44" s="45">
        <f t="shared" si="1"/>
        <v>15756.863842499279</v>
      </c>
      <c r="H44" s="61">
        <f>D44+'9. Aus Pop &amp; Domestic Demand'!N37</f>
        <v>72993.564847759655</v>
      </c>
      <c r="I44" s="61">
        <f>F44+'9. Aus Pop &amp; Domestic Demand'!O37</f>
        <v>85386.661647556</v>
      </c>
      <c r="J44" s="61">
        <f>F44+'9. Aus Pop &amp; Domestic Demand'!P37</f>
        <v>94336.722392435506</v>
      </c>
      <c r="K44" s="61">
        <f>F44+'9. Aus Pop &amp; Domestic Demand'!Q37</f>
        <v>79569.705518530071</v>
      </c>
      <c r="M44" s="25">
        <v>2037</v>
      </c>
      <c r="N44" s="61">
        <f t="shared" si="3"/>
        <v>70001.747612432693</v>
      </c>
    </row>
    <row r="45" spans="2:15" x14ac:dyDescent="0.2">
      <c r="B45" s="44">
        <f t="shared" si="2"/>
        <v>2040</v>
      </c>
      <c r="D45" s="45">
        <f t="shared" si="0"/>
        <v>12636.863842499279</v>
      </c>
      <c r="E45" s="45">
        <f>IF(B45&lt;'8. Control Panel - Aus'!$M$19,"",'8. Control Panel - Aus'!$M$21)</f>
        <v>3120</v>
      </c>
      <c r="F45" s="45">
        <f t="shared" si="1"/>
        <v>15756.863842499279</v>
      </c>
      <c r="H45" s="61">
        <f>D45+'9. Aus Pop &amp; Domestic Demand'!N38</f>
        <v>73657.488558817524</v>
      </c>
      <c r="I45" s="61">
        <f>F45+'9. Aus Pop &amp; Domestic Demand'!O38</f>
        <v>86152.589423411628</v>
      </c>
      <c r="J45" s="61">
        <f>F45+'9. Aus Pop &amp; Domestic Demand'!P38</f>
        <v>95201.100836484809</v>
      </c>
      <c r="K45" s="61">
        <f>F45+'9. Aus Pop &amp; Domestic Demand'!Q38</f>
        <v>80271.646776966401</v>
      </c>
      <c r="M45" s="25">
        <v>2038</v>
      </c>
      <c r="N45" s="61">
        <f t="shared" si="3"/>
        <v>70771.766836169452</v>
      </c>
      <c r="O45" s="37"/>
    </row>
    <row r="46" spans="2:15" x14ac:dyDescent="0.2">
      <c r="B46" s="44">
        <f t="shared" si="2"/>
        <v>2041</v>
      </c>
      <c r="D46" s="45">
        <f t="shared" si="0"/>
        <v>12636.863842499279</v>
      </c>
      <c r="E46" s="45">
        <f>IF(B46&lt;'8. Control Panel - Aus'!$M$19,"",'8. Control Panel - Aus'!$M$21)</f>
        <v>3120</v>
      </c>
      <c r="F46" s="45">
        <f t="shared" si="1"/>
        <v>15756.863842499279</v>
      </c>
      <c r="H46" s="61">
        <f>D46+'9. Aus Pop &amp; Domestic Demand'!N39</f>
        <v>74328.715430697019</v>
      </c>
      <c r="I46" s="61">
        <f>F46+'9. Aus Pop &amp; Domestic Demand'!O39</f>
        <v>86926.942404801666</v>
      </c>
      <c r="J46" s="61">
        <f>F46+'9. Aus Pop &amp; Domestic Demand'!P39</f>
        <v>96074.987443418635</v>
      </c>
      <c r="K46" s="61">
        <f>F46+'9. Aus Pop &amp; Domestic Demand'!Q39</f>
        <v>80981.309389245551</v>
      </c>
      <c r="M46" s="25">
        <v>2039</v>
      </c>
      <c r="N46" s="61">
        <f t="shared" si="3"/>
        <v>71550.256271367311</v>
      </c>
    </row>
    <row r="47" spans="2:15" x14ac:dyDescent="0.2">
      <c r="B47" s="44">
        <f t="shared" si="2"/>
        <v>2042</v>
      </c>
      <c r="D47" s="45">
        <f t="shared" si="0"/>
        <v>12636.863842499279</v>
      </c>
      <c r="E47" s="45">
        <f>IF(B47&lt;'8. Control Panel - Aus'!$M$19,"",'8. Control Panel - Aus'!$M$21)</f>
        <v>3120</v>
      </c>
      <c r="F47" s="45">
        <f t="shared" si="1"/>
        <v>15756.863842499279</v>
      </c>
      <c r="H47" s="61">
        <f>D47+'9. Aus Pop &amp; Domestic Demand'!N40</f>
        <v>75007.325798167192</v>
      </c>
      <c r="I47" s="61">
        <f>F47+'9. Aus Pop &amp; Domestic Demand'!O40</f>
        <v>87709.813268986996</v>
      </c>
      <c r="J47" s="61">
        <f>F47+'9. Aus Pop &amp; Domestic Demand'!P40</f>
        <v>96958.486803028747</v>
      </c>
      <c r="K47" s="61">
        <f>F47+'9. Aus Pop &amp; Domestic Demand'!Q40</f>
        <v>81698.778290259754</v>
      </c>
      <c r="M47" s="25">
        <v>2040</v>
      </c>
      <c r="N47" s="61">
        <f t="shared" si="3"/>
        <v>72337.309090352355</v>
      </c>
      <c r="O47" s="37"/>
    </row>
    <row r="48" spans="2:15" x14ac:dyDescent="0.2">
      <c r="B48" s="44">
        <f t="shared" si="2"/>
        <v>2043</v>
      </c>
      <c r="D48" s="45">
        <f t="shared" si="0"/>
        <v>12636.863842499279</v>
      </c>
      <c r="E48" s="45">
        <f>IF(B48&lt;'8. Control Panel - Aus'!$M$19,"",'8. Control Panel - Aus'!$M$21)</f>
        <v>3120</v>
      </c>
      <c r="F48" s="45">
        <f t="shared" si="1"/>
        <v>15756.863842499279</v>
      </c>
      <c r="H48" s="61">
        <f>D48+'9. Aus Pop &amp; Domestic Demand'!N41</f>
        <v>75693.400879679553</v>
      </c>
      <c r="I48" s="61">
        <f>F48+'9. Aus Pop &amp; Domestic Demand'!O41</f>
        <v>88501.295712678359</v>
      </c>
      <c r="J48" s="61">
        <f>F48+'9. Aus Pop &amp; Domestic Demand'!P41</f>
        <v>97851.704655594571</v>
      </c>
      <c r="K48" s="61">
        <f>F48+'9. Aus Pop &amp; Domestic Demand'!Q41</f>
        <v>82424.139349185119</v>
      </c>
      <c r="M48" s="25">
        <v>2041</v>
      </c>
      <c r="N48" s="61">
        <f t="shared" si="3"/>
        <v>73133.019490346225</v>
      </c>
    </row>
    <row r="49" spans="2:14" x14ac:dyDescent="0.2">
      <c r="B49" s="44">
        <f t="shared" si="2"/>
        <v>2044</v>
      </c>
      <c r="D49" s="45">
        <f t="shared" si="0"/>
        <v>12636.863842499279</v>
      </c>
      <c r="E49" s="45">
        <f>IF(B49&lt;'8. Control Panel - Aus'!$M$19,"",'8. Control Panel - Aus'!$M$21)</f>
        <v>3120</v>
      </c>
      <c r="F49" s="45">
        <f t="shared" si="1"/>
        <v>15756.863842499279</v>
      </c>
      <c r="H49" s="61">
        <f>D49+'9. Aus Pop &amp; Domestic Demand'!N42</f>
        <v>76387.022787088528</v>
      </c>
      <c r="I49" s="61">
        <f>F49+'9. Aus Pop &amp; Domestic Demand'!O42</f>
        <v>89301.484463250323</v>
      </c>
      <c r="J49" s="61">
        <f>F49+'9. Aus Pop &amp; Domestic Demand'!P42</f>
        <v>98754.747904538628</v>
      </c>
      <c r="K49" s="61">
        <f>F49+'9. Aus Pop &amp; Domestic Demand'!Q42</f>
        <v>83157.479379758675</v>
      </c>
      <c r="M49" s="25">
        <v>2042</v>
      </c>
      <c r="N49" s="61">
        <f t="shared" si="3"/>
        <v>73937.482704740032</v>
      </c>
    </row>
    <row r="50" spans="2:14" x14ac:dyDescent="0.2">
      <c r="B50" s="44">
        <f t="shared" si="2"/>
        <v>2045</v>
      </c>
      <c r="D50" s="45">
        <f t="shared" si="0"/>
        <v>12636.863842499279</v>
      </c>
      <c r="E50" s="45">
        <f>IF(B50&lt;'8. Control Panel - Aus'!$M$19,"",'8. Control Panel - Aus'!$M$21)</f>
        <v>3120</v>
      </c>
      <c r="F50" s="45">
        <f t="shared" si="1"/>
        <v>15756.863842499279</v>
      </c>
      <c r="H50" s="61">
        <f>D50+'9. Aus Pop &amp; Domestic Demand'!N43</f>
        <v>77088.27453547901</v>
      </c>
      <c r="I50" s="61">
        <f>F50+'9. Aus Pop &amp; Domestic Demand'!O43</f>
        <v>90110.475290078597</v>
      </c>
      <c r="J50" s="61">
        <f>F50+'9. Aus Pop &amp; Domestic Demand'!P43</f>
        <v>99667.724629221048</v>
      </c>
      <c r="K50" s="61">
        <f>F50+'9. Aus Pop &amp; Domestic Demand'!Q43</f>
        <v>83898.886150668521</v>
      </c>
      <c r="M50" s="25">
        <v>2043</v>
      </c>
      <c r="N50" s="61">
        <f t="shared" si="3"/>
        <v>74750.795014492178</v>
      </c>
    </row>
    <row r="51" spans="2:14" x14ac:dyDescent="0.2">
      <c r="B51" s="44">
        <f t="shared" si="2"/>
        <v>2046</v>
      </c>
      <c r="D51" s="45">
        <f t="shared" si="0"/>
        <v>12636.863842499279</v>
      </c>
      <c r="E51" s="45">
        <f>IF(B51&lt;'8. Control Panel - Aus'!$M$19,"",'8. Control Panel - Aus'!$M$21)</f>
        <v>3120</v>
      </c>
      <c r="F51" s="45">
        <f t="shared" si="1"/>
        <v>15756.863842499279</v>
      </c>
      <c r="H51" s="61">
        <f>D51+'9. Aus Pop &amp; Domestic Demand'!N44</f>
        <v>77797.240053101792</v>
      </c>
      <c r="I51" s="61">
        <f>F51+'9. Aus Pop &amp; Domestic Demand'!O44</f>
        <v>90928.365016001961</v>
      </c>
      <c r="J51" s="61">
        <f>F51+'9. Aus Pop &amp; Domestic Demand'!P44</f>
        <v>100590.74409787499</v>
      </c>
      <c r="K51" s="61">
        <f>F51+'9. Aus Pop &amp; Domestic Demand'!Q44</f>
        <v>84648.448396058389</v>
      </c>
      <c r="M51" s="25">
        <v>2044</v>
      </c>
      <c r="N51" s="61">
        <f t="shared" si="3"/>
        <v>75573.053759651593</v>
      </c>
    </row>
    <row r="52" spans="2:14" x14ac:dyDescent="0.2">
      <c r="B52" s="44">
        <f t="shared" si="2"/>
        <v>2047</v>
      </c>
      <c r="D52" s="45">
        <f t="shared" si="0"/>
        <v>12636.863842499279</v>
      </c>
      <c r="E52" s="45">
        <f>IF(B52&lt;'8. Control Panel - Aus'!$M$19,"",'8. Control Panel - Aus'!$M$21)</f>
        <v>3120</v>
      </c>
      <c r="F52" s="45">
        <f t="shared" si="1"/>
        <v>15756.863842499279</v>
      </c>
      <c r="H52" s="61">
        <f>D52+'9. Aus Pop &amp; Domestic Demand'!N45</f>
        <v>78514.004191418426</v>
      </c>
      <c r="I52" s="61">
        <f>F52+'9. Aus Pop &amp; Domestic Demand'!O45</f>
        <v>91755.251528910492</v>
      </c>
      <c r="J52" s="61">
        <f>F52+'9. Aus Pop &amp; Domestic Demand'!P45</f>
        <v>101523.91678068413</v>
      </c>
      <c r="K52" s="61">
        <f>F52+'9. Aus Pop &amp; Domestic Demand'!Q45</f>
        <v>85406.255826147535</v>
      </c>
      <c r="M52" s="25">
        <v>2045</v>
      </c>
      <c r="N52" s="61">
        <f t="shared" si="3"/>
        <v>76404.357351007755</v>
      </c>
    </row>
    <row r="53" spans="2:14" x14ac:dyDescent="0.2">
      <c r="B53" s="44">
        <f t="shared" si="2"/>
        <v>2048</v>
      </c>
      <c r="D53" s="45">
        <f t="shared" si="0"/>
        <v>12636.863842499279</v>
      </c>
      <c r="E53" s="45">
        <f>IF(B53&lt;'8. Control Panel - Aus'!$M$19,"",'8. Control Panel - Aus'!$M$21)</f>
        <v>3120</v>
      </c>
      <c r="F53" s="45">
        <f t="shared" si="1"/>
        <v>15756.863842499279</v>
      </c>
      <c r="H53" s="61">
        <f>D53+'9. Aus Pop &amp; Domestic Demand'!N46</f>
        <v>79238.652735256532</v>
      </c>
      <c r="I53" s="61">
        <f>F53+'9. Aus Pop &amp; Domestic Demand'!O46</f>
        <v>92591.233793461026</v>
      </c>
      <c r="J53" s="61">
        <f>F53+'9. Aus Pop &amp; Domestic Demand'!P46</f>
        <v>102467.35436300415</v>
      </c>
      <c r="K53" s="61">
        <f>F53+'9. Aus Pop &amp; Domestic Demand'!Q46</f>
        <v>86172.399137967659</v>
      </c>
      <c r="M53" s="25">
        <v>2046</v>
      </c>
      <c r="N53" s="61">
        <f t="shared" si="3"/>
        <v>77244.805281868845</v>
      </c>
    </row>
    <row r="54" spans="2:14" x14ac:dyDescent="0.2">
      <c r="B54" s="44">
        <f>B53+1</f>
        <v>2049</v>
      </c>
      <c r="D54" s="45">
        <f t="shared" si="0"/>
        <v>12636.863842499279</v>
      </c>
      <c r="E54" s="45">
        <f>IF(B54&lt;'8. Control Panel - Aus'!$M$19,"",'8. Control Panel - Aus'!$M$21)</f>
        <v>3120</v>
      </c>
      <c r="F54" s="45">
        <f t="shared" si="1"/>
        <v>15756.863842499279</v>
      </c>
      <c r="H54" s="61">
        <f>D54+'9. Aus Pop &amp; Domestic Demand'!N47</f>
        <v>79971.272413076862</v>
      </c>
      <c r="I54" s="61">
        <f>F54+'9. Aus Pop &amp; Domestic Demand'!O47</f>
        <v>93436.411862921595</v>
      </c>
      <c r="J54" s="61">
        <f>F54+'9. Aus Pop &amp; Domestic Demand'!P47</f>
        <v>103421.16975872971</v>
      </c>
      <c r="K54" s="61">
        <f>F54+'9. Aus Pop &amp; Domestic Demand'!Q47</f>
        <v>86946.970026217823</v>
      </c>
      <c r="M54" s="25">
        <v>2047</v>
      </c>
      <c r="N54" s="61">
        <f t="shared" si="3"/>
        <v>78094.498139969408</v>
      </c>
    </row>
    <row r="55" spans="2:14" x14ac:dyDescent="0.2">
      <c r="B55" s="44">
        <f>B54+1</f>
        <v>2050</v>
      </c>
      <c r="D55" s="45">
        <f t="shared" si="0"/>
        <v>12636.863842499279</v>
      </c>
      <c r="E55" s="45">
        <f>IF(B55&lt;'8. Control Panel - Aus'!$M$19,"",'8. Control Panel - Aus'!$M$21)</f>
        <v>3120</v>
      </c>
      <c r="F55" s="45">
        <f t="shared" si="1"/>
        <v>15756.863842499279</v>
      </c>
      <c r="H55" s="61">
        <f>D55+'9. Aus Pop &amp; Domestic Demand'!N48</f>
        <v>80711.95090735321</v>
      </c>
      <c r="I55" s="61">
        <f>F55+'9. Aus Pop &amp; Domestic Demand'!O48</f>
        <v>94290.886891146234</v>
      </c>
      <c r="J55" s="61">
        <f>F55+'9. Aus Pop &amp; Domestic Demand'!P48</f>
        <v>104385.47712380825</v>
      </c>
      <c r="K55" s="61">
        <f>F55+'9. Aus Pop &amp; Domestic Demand'!Q48</f>
        <v>87730.061194238733</v>
      </c>
      <c r="M55" s="25">
        <v>2048</v>
      </c>
      <c r="N55" s="61">
        <f t="shared" si="3"/>
        <v>78953.537619509065</v>
      </c>
    </row>
    <row r="56" spans="2:14" x14ac:dyDescent="0.2">
      <c r="M56" s="25">
        <v>2049</v>
      </c>
      <c r="N56" s="61">
        <f t="shared" si="3"/>
        <v>79822.02653332366</v>
      </c>
    </row>
    <row r="57" spans="2:14" x14ac:dyDescent="0.2">
      <c r="M57" s="25">
        <v>2050</v>
      </c>
      <c r="N57" s="61">
        <f t="shared" si="3"/>
        <v>80700.068825190217</v>
      </c>
    </row>
  </sheetData>
  <sheetProtection sheet="1" objects="1" scenarios="1" selectLockedCells="1"/>
  <mergeCells count="24">
    <mergeCell ref="B4:P5"/>
    <mergeCell ref="B15:D15"/>
    <mergeCell ref="E15:F15"/>
    <mergeCell ref="D18:F18"/>
    <mergeCell ref="B19:C19"/>
    <mergeCell ref="B12:D12"/>
    <mergeCell ref="E12:F12"/>
    <mergeCell ref="B13:D13"/>
    <mergeCell ref="E13:F13"/>
    <mergeCell ref="B14:D14"/>
    <mergeCell ref="E14:F14"/>
    <mergeCell ref="B11:D11"/>
    <mergeCell ref="E11:F11"/>
    <mergeCell ref="B7:F8"/>
    <mergeCell ref="B9:D9"/>
    <mergeCell ref="E9:F9"/>
    <mergeCell ref="I29:K29"/>
    <mergeCell ref="D27:F27"/>
    <mergeCell ref="B10:D10"/>
    <mergeCell ref="E10:F10"/>
    <mergeCell ref="B17:G17"/>
    <mergeCell ref="D28:F28"/>
    <mergeCell ref="I27:K27"/>
    <mergeCell ref="B25:N25"/>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0999B-2837-4D02-87DE-01603DD33126}">
  <sheetPr codeName="Tabelle12">
    <tabColor theme="7"/>
  </sheetPr>
  <dimension ref="C1:N41"/>
  <sheetViews>
    <sheetView tabSelected="1" zoomScale="85" zoomScaleNormal="85" workbookViewId="0">
      <selection activeCell="C9" sqref="C9"/>
    </sheetView>
  </sheetViews>
  <sheetFormatPr baseColWidth="10" defaultColWidth="11" defaultRowHeight="14.25" x14ac:dyDescent="0.2"/>
  <cols>
    <col min="1" max="1" width="1.75" style="20" customWidth="1"/>
    <col min="2" max="2" width="5.5" style="20" customWidth="1"/>
    <col min="3" max="3" width="13.75" style="20" customWidth="1"/>
    <col min="4" max="4" width="60.125" style="20" bestFit="1" customWidth="1"/>
    <col min="5" max="5" width="18.5" style="20" customWidth="1"/>
    <col min="6" max="6" width="11" style="20"/>
    <col min="7" max="7" width="29.125" style="20" customWidth="1"/>
    <col min="8" max="8" width="11" style="20"/>
    <col min="9" max="9" width="13.375" style="20" bestFit="1" customWidth="1"/>
    <col min="10" max="10" width="11" style="20"/>
    <col min="11" max="11" width="4.875" style="20" bestFit="1" customWidth="1"/>
    <col min="12" max="12" width="10.75" style="20" customWidth="1"/>
    <col min="13" max="13" width="10.75" style="20" bestFit="1" customWidth="1"/>
    <col min="14" max="14" width="11.125" style="20" bestFit="1" customWidth="1"/>
    <col min="15" max="16384" width="11" style="20"/>
  </cols>
  <sheetData>
    <row r="1" spans="3:14" ht="8.25" customHeight="1" x14ac:dyDescent="0.2"/>
    <row r="2" spans="3:14" s="1" customFormat="1" ht="23.45" customHeight="1" x14ac:dyDescent="0.2">
      <c r="D2" s="2" t="s">
        <v>254</v>
      </c>
    </row>
    <row r="4" spans="3:14" ht="14.1" customHeight="1" x14ac:dyDescent="0.2">
      <c r="C4" s="113" t="s">
        <v>322</v>
      </c>
      <c r="D4" s="114"/>
      <c r="E4" s="115"/>
    </row>
    <row r="5" spans="3:14" x14ac:dyDescent="0.2">
      <c r="C5" s="119"/>
      <c r="D5" s="120"/>
      <c r="E5" s="121"/>
    </row>
    <row r="7" spans="3:14" ht="60" x14ac:dyDescent="0.25">
      <c r="C7" s="156" t="s">
        <v>307</v>
      </c>
      <c r="D7" s="156"/>
      <c r="E7" s="156"/>
      <c r="G7" s="123" t="s">
        <v>255</v>
      </c>
      <c r="H7" s="123"/>
      <c r="I7" s="62" t="s">
        <v>256</v>
      </c>
      <c r="K7" s="66" t="s">
        <v>34</v>
      </c>
      <c r="L7" s="67" t="s">
        <v>257</v>
      </c>
      <c r="M7" s="62" t="s">
        <v>258</v>
      </c>
      <c r="N7" s="62" t="s">
        <v>259</v>
      </c>
    </row>
    <row r="8" spans="3:14" ht="27" x14ac:dyDescent="0.2">
      <c r="C8" s="60" t="s">
        <v>178</v>
      </c>
      <c r="D8" s="56" t="s">
        <v>179</v>
      </c>
      <c r="E8" s="60" t="s">
        <v>180</v>
      </c>
      <c r="G8" s="23" t="s">
        <v>260</v>
      </c>
      <c r="H8" s="23">
        <f>SUMIF(C9:C28,"Domestic",E9:E28)</f>
        <v>111.67</v>
      </c>
      <c r="I8" s="24">
        <f>H8/(H8+H9)</f>
        <v>0.80384393895767337</v>
      </c>
      <c r="K8" s="25">
        <f>Start_Aus_Scenarios</f>
        <v>2025</v>
      </c>
      <c r="L8" s="26">
        <f>'8. Control Panel - Aus'!$J$21</f>
        <v>193.6</v>
      </c>
      <c r="M8" s="26">
        <f>'8. Control Panel - Aus'!$J$22</f>
        <v>70664</v>
      </c>
      <c r="N8" s="26">
        <f>M8*(1-'8. Control Panel - Aus'!$J$23)</f>
        <v>43105.04</v>
      </c>
    </row>
    <row r="9" spans="3:14" ht="16.5" x14ac:dyDescent="0.2">
      <c r="C9" s="252" t="s">
        <v>181</v>
      </c>
      <c r="D9" s="252" t="s">
        <v>182</v>
      </c>
      <c r="E9" s="253">
        <v>83.7</v>
      </c>
      <c r="G9" s="23" t="s">
        <v>261</v>
      </c>
      <c r="H9" s="23">
        <f>SUMIF(C9:C28,"Non-Domestic",E9:E28)</f>
        <v>27.25</v>
      </c>
      <c r="I9" s="24">
        <f>H9/(H9+H8)</f>
        <v>0.1961560610423265</v>
      </c>
      <c r="K9" s="25">
        <f>K8+1</f>
        <v>2026</v>
      </c>
      <c r="L9" s="26">
        <f>'8. Control Panel - Aus'!$J$21</f>
        <v>193.6</v>
      </c>
      <c r="M9" s="26">
        <f>'8. Control Panel - Aus'!$J$22</f>
        <v>70664</v>
      </c>
      <c r="N9" s="26">
        <f>M9*(1-'8. Control Panel - Aus'!$J$23)</f>
        <v>43105.04</v>
      </c>
    </row>
    <row r="10" spans="3:14" x14ac:dyDescent="0.2">
      <c r="C10" s="252" t="s">
        <v>181</v>
      </c>
      <c r="D10" s="252" t="s">
        <v>183</v>
      </c>
      <c r="E10" s="253">
        <v>11.25</v>
      </c>
      <c r="K10" s="25">
        <f t="shared" ref="K10:K33" si="0">K9+1</f>
        <v>2027</v>
      </c>
      <c r="L10" s="26">
        <f>'8. Control Panel - Aus'!$J$21</f>
        <v>193.6</v>
      </c>
      <c r="M10" s="26">
        <f>'8. Control Panel - Aus'!$J$22</f>
        <v>70664</v>
      </c>
      <c r="N10" s="26">
        <f>M10*(1-'8. Control Panel - Aus'!$J$23)</f>
        <v>43105.04</v>
      </c>
    </row>
    <row r="11" spans="3:14" x14ac:dyDescent="0.2">
      <c r="C11" s="252" t="s">
        <v>181</v>
      </c>
      <c r="D11" s="252" t="s">
        <v>184</v>
      </c>
      <c r="E11" s="253">
        <v>0.5</v>
      </c>
      <c r="K11" s="25">
        <f t="shared" si="0"/>
        <v>2028</v>
      </c>
      <c r="L11" s="26">
        <f>'8. Control Panel - Aus'!$J$21</f>
        <v>193.6</v>
      </c>
      <c r="M11" s="26">
        <f>'8. Control Panel - Aus'!$J$22</f>
        <v>70664</v>
      </c>
      <c r="N11" s="26">
        <f>M11*(1-'8. Control Panel - Aus'!$J$23)</f>
        <v>43105.04</v>
      </c>
    </row>
    <row r="12" spans="3:14" x14ac:dyDescent="0.2">
      <c r="C12" s="252" t="s">
        <v>181</v>
      </c>
      <c r="D12" s="252" t="s">
        <v>185</v>
      </c>
      <c r="E12" s="253">
        <v>0.75</v>
      </c>
      <c r="K12" s="25">
        <f t="shared" si="0"/>
        <v>2029</v>
      </c>
      <c r="L12" s="26">
        <f>'8. Control Panel - Aus'!$J$21</f>
        <v>193.6</v>
      </c>
      <c r="M12" s="26">
        <f>'8. Control Panel - Aus'!$J$22</f>
        <v>70664</v>
      </c>
      <c r="N12" s="26">
        <f>M12*(1-'8. Control Panel - Aus'!$J$23)</f>
        <v>43105.04</v>
      </c>
    </row>
    <row r="13" spans="3:14" x14ac:dyDescent="0.2">
      <c r="C13" s="252" t="s">
        <v>181</v>
      </c>
      <c r="D13" s="252" t="s">
        <v>186</v>
      </c>
      <c r="E13" s="253">
        <v>1.5</v>
      </c>
      <c r="K13" s="25">
        <f t="shared" si="0"/>
        <v>2030</v>
      </c>
      <c r="L13" s="26">
        <f>'8. Control Panel - Aus'!$J$21</f>
        <v>193.6</v>
      </c>
      <c r="M13" s="26">
        <f>'8. Control Panel - Aus'!$J$22</f>
        <v>70664</v>
      </c>
      <c r="N13" s="26">
        <f>M13*(1-'8. Control Panel - Aus'!$J$23)</f>
        <v>43105.04</v>
      </c>
    </row>
    <row r="14" spans="3:14" x14ac:dyDescent="0.2">
      <c r="C14" s="252" t="s">
        <v>181</v>
      </c>
      <c r="D14" s="252" t="s">
        <v>187</v>
      </c>
      <c r="E14" s="253">
        <v>1</v>
      </c>
      <c r="K14" s="25">
        <f t="shared" si="0"/>
        <v>2031</v>
      </c>
      <c r="L14" s="26">
        <f>'8. Control Panel - Aus'!$J$21</f>
        <v>193.6</v>
      </c>
      <c r="M14" s="26">
        <f>'8. Control Panel - Aus'!$J$22</f>
        <v>70664</v>
      </c>
      <c r="N14" s="26">
        <f>M14*(1-'8. Control Panel - Aus'!$J$23)</f>
        <v>43105.04</v>
      </c>
    </row>
    <row r="15" spans="3:14" x14ac:dyDescent="0.2">
      <c r="C15" s="252" t="s">
        <v>181</v>
      </c>
      <c r="D15" s="252" t="s">
        <v>188</v>
      </c>
      <c r="E15" s="253">
        <v>0.75</v>
      </c>
      <c r="K15" s="25">
        <f t="shared" si="0"/>
        <v>2032</v>
      </c>
      <c r="L15" s="26">
        <f>'8. Control Panel - Aus'!$J$21</f>
        <v>193.6</v>
      </c>
      <c r="M15" s="26">
        <f>'8. Control Panel - Aus'!$J$22</f>
        <v>70664</v>
      </c>
      <c r="N15" s="26">
        <f>M15*(1-'8. Control Panel - Aus'!$J$23)</f>
        <v>43105.04</v>
      </c>
    </row>
    <row r="16" spans="3:14" x14ac:dyDescent="0.2">
      <c r="C16" s="252" t="s">
        <v>181</v>
      </c>
      <c r="D16" s="252" t="s">
        <v>189</v>
      </c>
      <c r="E16" s="253">
        <v>0.75</v>
      </c>
      <c r="K16" s="25">
        <f t="shared" si="0"/>
        <v>2033</v>
      </c>
      <c r="L16" s="26">
        <f>'8. Control Panel - Aus'!$J$21</f>
        <v>193.6</v>
      </c>
      <c r="M16" s="26">
        <f>'8. Control Panel - Aus'!$J$22</f>
        <v>70664</v>
      </c>
      <c r="N16" s="26">
        <f>M16*(1-'8. Control Panel - Aus'!$J$23)</f>
        <v>43105.04</v>
      </c>
    </row>
    <row r="17" spans="3:14" x14ac:dyDescent="0.2">
      <c r="C17" s="252" t="s">
        <v>181</v>
      </c>
      <c r="D17" s="252" t="s">
        <v>190</v>
      </c>
      <c r="E17" s="253">
        <v>6</v>
      </c>
      <c r="K17" s="25">
        <f t="shared" si="0"/>
        <v>2034</v>
      </c>
      <c r="L17" s="26">
        <f>'8. Control Panel - Aus'!$J$21</f>
        <v>193.6</v>
      </c>
      <c r="M17" s="26">
        <f>'8. Control Panel - Aus'!$J$22</f>
        <v>70664</v>
      </c>
      <c r="N17" s="26">
        <f>M17*(1-'8. Control Panel - Aus'!$J$23)</f>
        <v>43105.04</v>
      </c>
    </row>
    <row r="18" spans="3:14" x14ac:dyDescent="0.2">
      <c r="C18" s="252" t="s">
        <v>181</v>
      </c>
      <c r="D18" s="252" t="s">
        <v>191</v>
      </c>
      <c r="E18" s="253">
        <v>1.2</v>
      </c>
      <c r="K18" s="25">
        <f t="shared" si="0"/>
        <v>2035</v>
      </c>
      <c r="L18" s="26">
        <f>'8. Control Panel - Aus'!$J$21</f>
        <v>193.6</v>
      </c>
      <c r="M18" s="26">
        <f>'8. Control Panel - Aus'!$J$22</f>
        <v>70664</v>
      </c>
      <c r="N18" s="26">
        <f>M18*(1-'8. Control Panel - Aus'!$J$23)</f>
        <v>43105.04</v>
      </c>
    </row>
    <row r="19" spans="3:14" x14ac:dyDescent="0.2">
      <c r="C19" s="252" t="s">
        <v>181</v>
      </c>
      <c r="D19" s="252" t="s">
        <v>192</v>
      </c>
      <c r="E19" s="253">
        <v>0.5</v>
      </c>
      <c r="K19" s="25">
        <f t="shared" si="0"/>
        <v>2036</v>
      </c>
      <c r="L19" s="26">
        <f>'8. Control Panel - Aus'!$J$21</f>
        <v>193.6</v>
      </c>
      <c r="M19" s="26">
        <f>'8. Control Panel - Aus'!$J$22</f>
        <v>70664</v>
      </c>
      <c r="N19" s="26">
        <f>M19*(1-'8. Control Panel - Aus'!$J$23)</f>
        <v>43105.04</v>
      </c>
    </row>
    <row r="20" spans="3:14" x14ac:dyDescent="0.2">
      <c r="C20" s="252" t="s">
        <v>181</v>
      </c>
      <c r="D20" s="252" t="s">
        <v>193</v>
      </c>
      <c r="E20" s="253">
        <v>0.5</v>
      </c>
      <c r="K20" s="25">
        <f t="shared" si="0"/>
        <v>2037</v>
      </c>
      <c r="L20" s="26">
        <f>'8. Control Panel - Aus'!$J$21</f>
        <v>193.6</v>
      </c>
      <c r="M20" s="26">
        <f>'8. Control Panel - Aus'!$J$22</f>
        <v>70664</v>
      </c>
      <c r="N20" s="26">
        <f>M20*(1-'8. Control Panel - Aus'!$J$23)</f>
        <v>43105.04</v>
      </c>
    </row>
    <row r="21" spans="3:14" x14ac:dyDescent="0.2">
      <c r="C21" s="252" t="s">
        <v>181</v>
      </c>
      <c r="D21" s="252" t="s">
        <v>194</v>
      </c>
      <c r="E21" s="253">
        <v>3.27</v>
      </c>
      <c r="K21" s="25">
        <f t="shared" si="0"/>
        <v>2038</v>
      </c>
      <c r="L21" s="26">
        <f>'8. Control Panel - Aus'!$J$21</f>
        <v>193.6</v>
      </c>
      <c r="M21" s="26">
        <f>'8. Control Panel - Aus'!$J$22</f>
        <v>70664</v>
      </c>
      <c r="N21" s="26">
        <f>M21*(1-'8. Control Panel - Aus'!$J$23)</f>
        <v>43105.04</v>
      </c>
    </row>
    <row r="22" spans="3:14" x14ac:dyDescent="0.2">
      <c r="C22" s="252" t="s">
        <v>195</v>
      </c>
      <c r="D22" s="252" t="s">
        <v>196</v>
      </c>
      <c r="E22" s="253">
        <v>8</v>
      </c>
      <c r="K22" s="25">
        <f t="shared" si="0"/>
        <v>2039</v>
      </c>
      <c r="L22" s="26">
        <f>'8. Control Panel - Aus'!$J$21</f>
        <v>193.6</v>
      </c>
      <c r="M22" s="26">
        <f>'8. Control Panel - Aus'!$J$22</f>
        <v>70664</v>
      </c>
      <c r="N22" s="26">
        <f>M22*(1-'8. Control Panel - Aus'!$J$23)</f>
        <v>43105.04</v>
      </c>
    </row>
    <row r="23" spans="3:14" x14ac:dyDescent="0.2">
      <c r="C23" s="252" t="s">
        <v>195</v>
      </c>
      <c r="D23" s="252" t="s">
        <v>197</v>
      </c>
      <c r="E23" s="253">
        <v>7</v>
      </c>
      <c r="K23" s="25">
        <f t="shared" si="0"/>
        <v>2040</v>
      </c>
      <c r="L23" s="26">
        <f>'8. Control Panel - Aus'!$J$21</f>
        <v>193.6</v>
      </c>
      <c r="M23" s="26">
        <f>'8. Control Panel - Aus'!$J$22</f>
        <v>70664</v>
      </c>
      <c r="N23" s="26">
        <f>M23*(1-'8. Control Panel - Aus'!$J$23)</f>
        <v>43105.04</v>
      </c>
    </row>
    <row r="24" spans="3:14" x14ac:dyDescent="0.2">
      <c r="C24" s="252" t="s">
        <v>195</v>
      </c>
      <c r="D24" s="252" t="s">
        <v>198</v>
      </c>
      <c r="E24" s="253">
        <v>0.75</v>
      </c>
      <c r="K24" s="25">
        <f t="shared" si="0"/>
        <v>2041</v>
      </c>
      <c r="L24" s="26">
        <f>'8. Control Panel - Aus'!$J$21</f>
        <v>193.6</v>
      </c>
      <c r="M24" s="26">
        <f>'8. Control Panel - Aus'!$J$22</f>
        <v>70664</v>
      </c>
      <c r="N24" s="26">
        <f>M24*(1-'8. Control Panel - Aus'!$J$23)</f>
        <v>43105.04</v>
      </c>
    </row>
    <row r="25" spans="3:14" x14ac:dyDescent="0.2">
      <c r="C25" s="252" t="s">
        <v>195</v>
      </c>
      <c r="D25" s="252" t="s">
        <v>199</v>
      </c>
      <c r="E25" s="253">
        <v>1.5</v>
      </c>
      <c r="K25" s="25">
        <f t="shared" si="0"/>
        <v>2042</v>
      </c>
      <c r="L25" s="26">
        <f>'8. Control Panel - Aus'!$J$21</f>
        <v>193.6</v>
      </c>
      <c r="M25" s="26">
        <f>'8. Control Panel - Aus'!$J$22</f>
        <v>70664</v>
      </c>
      <c r="N25" s="26">
        <f>M25*(1-'8. Control Panel - Aus'!$J$23)</f>
        <v>43105.04</v>
      </c>
    </row>
    <row r="26" spans="3:14" x14ac:dyDescent="0.2">
      <c r="C26" s="252" t="s">
        <v>195</v>
      </c>
      <c r="D26" s="252" t="s">
        <v>200</v>
      </c>
      <c r="E26" s="253">
        <v>4.5</v>
      </c>
      <c r="K26" s="25">
        <f t="shared" si="0"/>
        <v>2043</v>
      </c>
      <c r="L26" s="26">
        <f>'8. Control Panel - Aus'!$J$21</f>
        <v>193.6</v>
      </c>
      <c r="M26" s="26">
        <f>'8. Control Panel - Aus'!$J$22</f>
        <v>70664</v>
      </c>
      <c r="N26" s="26">
        <f>M26*(1-'8. Control Panel - Aus'!$J$23)</f>
        <v>43105.04</v>
      </c>
    </row>
    <row r="27" spans="3:14" x14ac:dyDescent="0.2">
      <c r="C27" s="252" t="s">
        <v>195</v>
      </c>
      <c r="D27" s="252" t="s">
        <v>201</v>
      </c>
      <c r="E27" s="253">
        <v>0.5</v>
      </c>
      <c r="K27" s="25">
        <f t="shared" si="0"/>
        <v>2044</v>
      </c>
      <c r="L27" s="26">
        <f>'8. Control Panel - Aus'!$J$21</f>
        <v>193.6</v>
      </c>
      <c r="M27" s="26">
        <f>'8. Control Panel - Aus'!$J$22</f>
        <v>70664</v>
      </c>
      <c r="N27" s="26">
        <f>M27*(1-'8. Control Panel - Aus'!$J$23)</f>
        <v>43105.04</v>
      </c>
    </row>
    <row r="28" spans="3:14" x14ac:dyDescent="0.2">
      <c r="C28" s="252" t="s">
        <v>195</v>
      </c>
      <c r="D28" s="252" t="s">
        <v>202</v>
      </c>
      <c r="E28" s="253">
        <v>5</v>
      </c>
      <c r="K28" s="25">
        <f t="shared" si="0"/>
        <v>2045</v>
      </c>
      <c r="L28" s="26">
        <f>'8. Control Panel - Aus'!$J$21</f>
        <v>193.6</v>
      </c>
      <c r="M28" s="26">
        <f>'8. Control Panel - Aus'!$J$22</f>
        <v>70664</v>
      </c>
      <c r="N28" s="26">
        <f>M28*(1-'8. Control Panel - Aus'!$J$23)</f>
        <v>43105.04</v>
      </c>
    </row>
    <row r="29" spans="3:14" x14ac:dyDescent="0.2">
      <c r="C29" s="252"/>
      <c r="D29" s="252"/>
      <c r="E29" s="252"/>
      <c r="K29" s="25">
        <f t="shared" si="0"/>
        <v>2046</v>
      </c>
      <c r="L29" s="26">
        <f>'8. Control Panel - Aus'!$J$21</f>
        <v>193.6</v>
      </c>
      <c r="M29" s="26">
        <f>'8. Control Panel - Aus'!$J$22</f>
        <v>70664</v>
      </c>
      <c r="N29" s="26">
        <f>M29*(1-'8. Control Panel - Aus'!$J$23)</f>
        <v>43105.04</v>
      </c>
    </row>
    <row r="30" spans="3:14" x14ac:dyDescent="0.2">
      <c r="C30" s="252"/>
      <c r="D30" s="252"/>
      <c r="E30" s="252"/>
      <c r="K30" s="25">
        <f t="shared" si="0"/>
        <v>2047</v>
      </c>
      <c r="L30" s="26">
        <f>'8. Control Panel - Aus'!$J$21</f>
        <v>193.6</v>
      </c>
      <c r="M30" s="26">
        <f>'8. Control Panel - Aus'!$J$22</f>
        <v>70664</v>
      </c>
      <c r="N30" s="26">
        <f>M30*(1-'8. Control Panel - Aus'!$J$23)</f>
        <v>43105.04</v>
      </c>
    </row>
    <row r="31" spans="3:14" x14ac:dyDescent="0.2">
      <c r="C31" s="252"/>
      <c r="D31" s="252"/>
      <c r="E31" s="252"/>
      <c r="K31" s="25">
        <f t="shared" si="0"/>
        <v>2048</v>
      </c>
      <c r="L31" s="26">
        <f>'8. Control Panel - Aus'!$J$21</f>
        <v>193.6</v>
      </c>
      <c r="M31" s="26">
        <f>'8. Control Panel - Aus'!$J$22</f>
        <v>70664</v>
      </c>
      <c r="N31" s="26">
        <f>M31*(1-'8. Control Panel - Aus'!$J$23)</f>
        <v>43105.04</v>
      </c>
    </row>
    <row r="32" spans="3:14" x14ac:dyDescent="0.2">
      <c r="C32" s="252"/>
      <c r="D32" s="252"/>
      <c r="E32" s="252"/>
      <c r="K32" s="25">
        <f t="shared" si="0"/>
        <v>2049</v>
      </c>
      <c r="L32" s="26">
        <f>'8. Control Panel - Aus'!$J$21</f>
        <v>193.6</v>
      </c>
      <c r="M32" s="26">
        <f>'8. Control Panel - Aus'!$J$22</f>
        <v>70664</v>
      </c>
      <c r="N32" s="26">
        <f>M32*(1-'8. Control Panel - Aus'!$J$23)</f>
        <v>43105.04</v>
      </c>
    </row>
    <row r="33" spans="3:14" x14ac:dyDescent="0.2">
      <c r="C33" s="252"/>
      <c r="D33" s="252"/>
      <c r="E33" s="252"/>
      <c r="K33" s="25">
        <f t="shared" si="0"/>
        <v>2050</v>
      </c>
      <c r="L33" s="26">
        <f>'8. Control Panel - Aus'!$J$21</f>
        <v>193.6</v>
      </c>
      <c r="M33" s="26">
        <f>'8. Control Panel - Aus'!$J$22</f>
        <v>70664</v>
      </c>
      <c r="N33" s="26">
        <f>M33*(1-'8. Control Panel - Aus'!$J$23)</f>
        <v>43105.04</v>
      </c>
    </row>
    <row r="34" spans="3:14" x14ac:dyDescent="0.2">
      <c r="C34" s="252"/>
      <c r="D34" s="252"/>
      <c r="E34" s="252"/>
    </row>
    <row r="35" spans="3:14" x14ac:dyDescent="0.2">
      <c r="C35" s="252"/>
      <c r="D35" s="252"/>
      <c r="E35" s="252"/>
    </row>
    <row r="36" spans="3:14" x14ac:dyDescent="0.2">
      <c r="C36" s="252"/>
      <c r="D36" s="252"/>
      <c r="E36" s="252"/>
    </row>
    <row r="37" spans="3:14" x14ac:dyDescent="0.2">
      <c r="C37" s="252"/>
      <c r="D37" s="252"/>
      <c r="E37" s="252"/>
    </row>
    <row r="38" spans="3:14" x14ac:dyDescent="0.2">
      <c r="C38" s="252"/>
      <c r="D38" s="252"/>
      <c r="E38" s="252"/>
    </row>
    <row r="39" spans="3:14" x14ac:dyDescent="0.2">
      <c r="C39" s="254" t="s">
        <v>203</v>
      </c>
      <c r="D39" s="254"/>
      <c r="E39" s="253">
        <f>SUM(E9:E28)*0.15</f>
        <v>20.838000000000001</v>
      </c>
    </row>
    <row r="40" spans="3:14" x14ac:dyDescent="0.2">
      <c r="C40" s="254" t="s">
        <v>204</v>
      </c>
      <c r="D40" s="254"/>
      <c r="E40" s="253">
        <f>SUM(E9:E39)*0.03</f>
        <v>4.7927400000000002</v>
      </c>
    </row>
    <row r="41" spans="3:14" ht="15.75" x14ac:dyDescent="0.25">
      <c r="C41" s="155" t="s">
        <v>205</v>
      </c>
      <c r="D41" s="155"/>
      <c r="E41" s="22">
        <f>SUM(E9:E40)</f>
        <v>164.55074000000002</v>
      </c>
    </row>
  </sheetData>
  <sheetProtection sheet="1" objects="1" scenarios="1" selectLockedCells="1"/>
  <sortState xmlns:xlrd2="http://schemas.microsoft.com/office/spreadsheetml/2017/richdata2" ref="C9:E28">
    <sortCondition ref="C9:C28"/>
  </sortState>
  <mergeCells count="6">
    <mergeCell ref="G7:H7"/>
    <mergeCell ref="C4:E5"/>
    <mergeCell ref="C39:D39"/>
    <mergeCell ref="C40:D40"/>
    <mergeCell ref="C41:D41"/>
    <mergeCell ref="C7:E7"/>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7980-7584-4A6B-852A-C08CB560F7C8}">
  <sheetPr codeName="Tabelle2"/>
  <dimension ref="B2:AW78"/>
  <sheetViews>
    <sheetView showGridLines="0" topLeftCell="A53" zoomScale="80" zoomScaleNormal="80" workbookViewId="0">
      <selection activeCell="V74" sqref="V74"/>
    </sheetView>
  </sheetViews>
  <sheetFormatPr baseColWidth="10" defaultColWidth="11" defaultRowHeight="14.25" x14ac:dyDescent="0.2"/>
  <cols>
    <col min="1" max="1" width="2.625" style="162" customWidth="1"/>
    <col min="2" max="2" width="3.375" style="162" customWidth="1"/>
    <col min="3" max="6" width="11" style="162"/>
    <col min="7" max="9" width="2.625" style="162" customWidth="1"/>
    <col min="10" max="12" width="11" style="162"/>
    <col min="13" max="13" width="11" style="162" customWidth="1"/>
    <col min="14" max="16" width="2.625" style="162" customWidth="1"/>
    <col min="17" max="20" width="11" style="162"/>
    <col min="21" max="23" width="2.625" style="162" customWidth="1"/>
    <col min="24" max="27" width="11" style="162"/>
    <col min="28" max="30" width="2.625" style="162" customWidth="1"/>
    <col min="31" max="31" width="11" style="162" customWidth="1"/>
    <col min="32" max="34" width="11" style="162"/>
    <col min="35" max="35" width="2.625" style="162" customWidth="1"/>
    <col min="36" max="16384" width="11" style="162"/>
  </cols>
  <sheetData>
    <row r="2" spans="2:49" s="157" customFormat="1" ht="23.45" customHeight="1" x14ac:dyDescent="0.2">
      <c r="C2" s="158" t="s">
        <v>246</v>
      </c>
    </row>
    <row r="4" spans="2:49" ht="15" customHeight="1" x14ac:dyDescent="0.2">
      <c r="B4" s="159"/>
      <c r="C4" s="160"/>
      <c r="D4" s="160"/>
      <c r="E4" s="160"/>
      <c r="F4" s="160"/>
      <c r="G4" s="160"/>
      <c r="H4" s="160"/>
      <c r="I4" s="160"/>
      <c r="J4" s="160"/>
      <c r="K4" s="160"/>
      <c r="L4" s="160"/>
      <c r="M4" s="160"/>
      <c r="N4" s="161"/>
      <c r="AE4" s="163"/>
      <c r="AF4" s="163"/>
      <c r="AG4" s="163"/>
      <c r="AH4" s="163"/>
    </row>
    <row r="5" spans="2:49" ht="15" x14ac:dyDescent="0.25">
      <c r="B5" s="164"/>
      <c r="C5" s="176" t="s">
        <v>262</v>
      </c>
      <c r="D5" s="177"/>
      <c r="E5" s="177"/>
      <c r="F5" s="177"/>
      <c r="G5" s="177"/>
      <c r="H5" s="177"/>
      <c r="I5" s="177"/>
      <c r="J5" s="177"/>
      <c r="K5" s="177"/>
      <c r="L5" s="177"/>
      <c r="M5" s="177"/>
      <c r="N5" s="165"/>
      <c r="AE5" s="163"/>
      <c r="AF5" s="163"/>
      <c r="AG5" s="163"/>
      <c r="AH5" s="163"/>
      <c r="AJ5" s="163"/>
      <c r="AK5" s="163"/>
      <c r="AL5" s="163"/>
      <c r="AM5" s="163"/>
    </row>
    <row r="6" spans="2:49" ht="15" customHeight="1" x14ac:dyDescent="0.2">
      <c r="B6" s="164"/>
      <c r="C6" s="178" t="s">
        <v>290</v>
      </c>
      <c r="D6" s="179"/>
      <c r="E6" s="179"/>
      <c r="F6" s="179"/>
      <c r="G6" s="179"/>
      <c r="H6" s="179"/>
      <c r="I6" s="179"/>
      <c r="J6" s="179"/>
      <c r="K6" s="179"/>
      <c r="L6" s="179"/>
      <c r="M6" s="179"/>
      <c r="N6" s="165"/>
      <c r="AE6" s="163"/>
      <c r="AF6" s="163"/>
      <c r="AG6" s="163"/>
      <c r="AH6" s="163"/>
      <c r="AJ6" s="163"/>
      <c r="AK6" s="163"/>
      <c r="AL6" s="163"/>
      <c r="AM6" s="163"/>
    </row>
    <row r="7" spans="2:49" ht="14.25" customHeight="1" x14ac:dyDescent="0.2">
      <c r="B7" s="164"/>
      <c r="C7" s="179"/>
      <c r="D7" s="179"/>
      <c r="E7" s="179"/>
      <c r="F7" s="179"/>
      <c r="G7" s="179"/>
      <c r="H7" s="179"/>
      <c r="I7" s="179"/>
      <c r="J7" s="179"/>
      <c r="K7" s="179"/>
      <c r="L7" s="179"/>
      <c r="M7" s="179"/>
      <c r="N7" s="165"/>
      <c r="AE7" s="163"/>
      <c r="AF7" s="163"/>
      <c r="AG7" s="163"/>
      <c r="AH7" s="163"/>
    </row>
    <row r="8" spans="2:49" x14ac:dyDescent="0.2">
      <c r="B8" s="164"/>
      <c r="C8" s="179"/>
      <c r="D8" s="179"/>
      <c r="E8" s="179"/>
      <c r="F8" s="179"/>
      <c r="G8" s="179"/>
      <c r="H8" s="179"/>
      <c r="I8" s="179"/>
      <c r="J8" s="179"/>
      <c r="K8" s="179"/>
      <c r="L8" s="179"/>
      <c r="M8" s="179"/>
      <c r="N8" s="165"/>
      <c r="AE8" s="166"/>
      <c r="AF8" s="166"/>
      <c r="AG8" s="166"/>
      <c r="AH8" s="166"/>
      <c r="AJ8" s="163"/>
      <c r="AK8" s="163"/>
      <c r="AL8" s="163"/>
      <c r="AM8" s="163"/>
    </row>
    <row r="9" spans="2:49" ht="15" customHeight="1" x14ac:dyDescent="0.2">
      <c r="B9" s="164"/>
      <c r="C9" s="179"/>
      <c r="D9" s="179"/>
      <c r="E9" s="179"/>
      <c r="F9" s="179"/>
      <c r="G9" s="179"/>
      <c r="H9" s="179"/>
      <c r="I9" s="179"/>
      <c r="J9" s="179"/>
      <c r="K9" s="179"/>
      <c r="L9" s="179"/>
      <c r="M9" s="179"/>
      <c r="N9" s="165"/>
      <c r="AE9" s="163"/>
      <c r="AF9" s="163"/>
      <c r="AG9" s="163"/>
      <c r="AH9" s="163"/>
    </row>
    <row r="10" spans="2:49" ht="15" customHeight="1" x14ac:dyDescent="0.2">
      <c r="B10" s="164"/>
      <c r="C10" s="177"/>
      <c r="D10" s="177"/>
      <c r="E10" s="177"/>
      <c r="F10" s="177"/>
      <c r="G10" s="177"/>
      <c r="H10" s="177"/>
      <c r="I10" s="177"/>
      <c r="J10" s="177"/>
      <c r="K10" s="177"/>
      <c r="L10" s="177"/>
      <c r="M10" s="177"/>
      <c r="N10" s="165"/>
      <c r="AE10" s="163"/>
      <c r="AF10" s="163"/>
      <c r="AG10" s="163"/>
      <c r="AH10" s="163"/>
      <c r="AJ10" s="163"/>
      <c r="AK10" s="163"/>
      <c r="AL10" s="163"/>
      <c r="AM10" s="163"/>
    </row>
    <row r="11" spans="2:49" ht="15" x14ac:dyDescent="0.25">
      <c r="B11" s="164"/>
      <c r="C11" s="176" t="s">
        <v>263</v>
      </c>
      <c r="D11" s="177"/>
      <c r="E11" s="177"/>
      <c r="F11" s="177"/>
      <c r="G11" s="177"/>
      <c r="H11" s="177"/>
      <c r="I11" s="177"/>
      <c r="J11" s="177"/>
      <c r="K11" s="177"/>
      <c r="L11" s="177"/>
      <c r="M11" s="177"/>
      <c r="N11" s="165"/>
      <c r="AE11" s="167"/>
      <c r="AF11" s="167"/>
      <c r="AG11" s="167"/>
      <c r="AH11" s="167"/>
      <c r="AT11" s="163"/>
      <c r="AU11" s="163"/>
      <c r="AV11" s="163"/>
      <c r="AW11" s="163"/>
    </row>
    <row r="12" spans="2:49" ht="15" customHeight="1" x14ac:dyDescent="0.2">
      <c r="B12" s="164"/>
      <c r="C12" s="178" t="s">
        <v>299</v>
      </c>
      <c r="D12" s="178"/>
      <c r="E12" s="178"/>
      <c r="F12" s="178"/>
      <c r="G12" s="178"/>
      <c r="H12" s="178"/>
      <c r="I12" s="178"/>
      <c r="J12" s="178"/>
      <c r="K12" s="178"/>
      <c r="L12" s="178"/>
      <c r="M12" s="178"/>
      <c r="N12" s="165"/>
      <c r="AE12" s="163"/>
      <c r="AF12" s="163"/>
      <c r="AG12" s="163"/>
      <c r="AH12" s="163"/>
      <c r="AJ12" s="163"/>
      <c r="AK12" s="163"/>
      <c r="AL12" s="163"/>
      <c r="AM12" s="163"/>
      <c r="AT12" s="163"/>
      <c r="AU12" s="163"/>
      <c r="AV12" s="163"/>
      <c r="AW12" s="163"/>
    </row>
    <row r="13" spans="2:49" ht="15" customHeight="1" x14ac:dyDescent="0.2">
      <c r="B13" s="164"/>
      <c r="C13" s="178"/>
      <c r="D13" s="178"/>
      <c r="E13" s="178"/>
      <c r="F13" s="178"/>
      <c r="G13" s="178"/>
      <c r="H13" s="178"/>
      <c r="I13" s="178"/>
      <c r="J13" s="178"/>
      <c r="K13" s="178"/>
      <c r="L13" s="178"/>
      <c r="M13" s="178"/>
      <c r="N13" s="165"/>
      <c r="AE13" s="163"/>
      <c r="AF13" s="163"/>
      <c r="AG13" s="163"/>
      <c r="AH13" s="163"/>
      <c r="AT13" s="163"/>
      <c r="AU13" s="163"/>
      <c r="AV13" s="163"/>
      <c r="AW13" s="163"/>
    </row>
    <row r="14" spans="2:49" x14ac:dyDescent="0.2">
      <c r="B14" s="164"/>
      <c r="C14" s="178"/>
      <c r="D14" s="178"/>
      <c r="E14" s="178"/>
      <c r="F14" s="178"/>
      <c r="G14" s="178"/>
      <c r="H14" s="178"/>
      <c r="I14" s="178"/>
      <c r="J14" s="178"/>
      <c r="K14" s="178"/>
      <c r="L14" s="178"/>
      <c r="M14" s="178"/>
      <c r="N14" s="165"/>
      <c r="AE14" s="166"/>
      <c r="AF14" s="166"/>
      <c r="AG14" s="166"/>
      <c r="AH14" s="166"/>
      <c r="AJ14" s="168"/>
      <c r="AK14" s="168"/>
      <c r="AL14" s="168"/>
      <c r="AM14" s="168"/>
      <c r="AT14" s="169"/>
      <c r="AU14" s="169"/>
      <c r="AV14" s="169"/>
      <c r="AW14" s="169"/>
    </row>
    <row r="15" spans="2:49" ht="15" customHeight="1" x14ac:dyDescent="0.2">
      <c r="B15" s="164"/>
      <c r="C15" s="178"/>
      <c r="D15" s="178"/>
      <c r="E15" s="178"/>
      <c r="F15" s="178"/>
      <c r="G15" s="178"/>
      <c r="H15" s="178"/>
      <c r="I15" s="178"/>
      <c r="J15" s="178"/>
      <c r="K15" s="178"/>
      <c r="L15" s="178"/>
      <c r="M15" s="178"/>
      <c r="N15" s="165"/>
      <c r="AE15" s="163"/>
      <c r="AF15" s="163"/>
      <c r="AG15" s="163"/>
      <c r="AH15" s="163"/>
      <c r="AJ15" s="169"/>
      <c r="AT15" s="163"/>
      <c r="AU15" s="163"/>
      <c r="AV15" s="163"/>
      <c r="AW15" s="163"/>
    </row>
    <row r="16" spans="2:49" ht="14.25" customHeight="1" x14ac:dyDescent="0.2">
      <c r="B16" s="164"/>
      <c r="C16" s="178"/>
      <c r="D16" s="178"/>
      <c r="E16" s="178"/>
      <c r="F16" s="178"/>
      <c r="G16" s="178"/>
      <c r="H16" s="178"/>
      <c r="I16" s="178"/>
      <c r="J16" s="178"/>
      <c r="K16" s="178"/>
      <c r="L16" s="178"/>
      <c r="M16" s="178"/>
      <c r="N16" s="165"/>
      <c r="AE16" s="163"/>
      <c r="AF16" s="163"/>
      <c r="AG16" s="163"/>
      <c r="AH16" s="163"/>
      <c r="AJ16" s="170"/>
      <c r="AK16" s="170"/>
      <c r="AL16" s="170"/>
      <c r="AM16" s="170"/>
      <c r="AT16" s="163"/>
      <c r="AU16" s="163"/>
      <c r="AV16" s="163"/>
      <c r="AW16" s="163"/>
    </row>
    <row r="17" spans="2:49" ht="15" customHeight="1" x14ac:dyDescent="0.2">
      <c r="B17" s="164"/>
      <c r="C17" s="178"/>
      <c r="D17" s="178"/>
      <c r="E17" s="178"/>
      <c r="F17" s="178"/>
      <c r="G17" s="178"/>
      <c r="H17" s="178"/>
      <c r="I17" s="178"/>
      <c r="J17" s="178"/>
      <c r="K17" s="178"/>
      <c r="L17" s="178"/>
      <c r="M17" s="178"/>
      <c r="N17" s="165"/>
      <c r="AE17" s="167"/>
      <c r="AF17" s="167"/>
      <c r="AG17" s="167"/>
      <c r="AH17" s="167"/>
      <c r="AT17" s="163"/>
      <c r="AU17" s="163"/>
      <c r="AV17" s="163"/>
      <c r="AW17" s="163"/>
    </row>
    <row r="18" spans="2:49" ht="15" customHeight="1" x14ac:dyDescent="0.2">
      <c r="B18" s="164"/>
      <c r="C18" s="178"/>
      <c r="D18" s="178"/>
      <c r="E18" s="178"/>
      <c r="F18" s="178"/>
      <c r="G18" s="178"/>
      <c r="H18" s="178"/>
      <c r="I18" s="178"/>
      <c r="J18" s="178"/>
      <c r="K18" s="178"/>
      <c r="L18" s="178"/>
      <c r="M18" s="178"/>
      <c r="N18" s="165"/>
      <c r="AE18" s="163"/>
      <c r="AF18" s="163"/>
      <c r="AG18" s="163"/>
      <c r="AH18" s="163"/>
      <c r="AI18" s="169"/>
      <c r="AT18" s="169"/>
      <c r="AU18" s="169"/>
      <c r="AV18" s="169"/>
      <c r="AW18" s="169"/>
    </row>
    <row r="19" spans="2:49" ht="15" customHeight="1" x14ac:dyDescent="0.2">
      <c r="B19" s="164"/>
      <c r="C19" s="179"/>
      <c r="D19" s="179"/>
      <c r="E19" s="179"/>
      <c r="F19" s="179"/>
      <c r="G19" s="179"/>
      <c r="H19" s="179"/>
      <c r="I19" s="179"/>
      <c r="J19" s="179"/>
      <c r="K19" s="179"/>
      <c r="L19" s="179"/>
      <c r="M19" s="179"/>
      <c r="N19" s="165"/>
      <c r="AE19" s="163"/>
      <c r="AF19" s="163"/>
      <c r="AG19" s="163"/>
      <c r="AH19" s="163"/>
      <c r="AT19" s="163"/>
      <c r="AU19" s="163"/>
      <c r="AV19" s="163"/>
      <c r="AW19" s="163"/>
    </row>
    <row r="20" spans="2:49" ht="15" x14ac:dyDescent="0.25">
      <c r="B20" s="164"/>
      <c r="C20" s="176" t="s">
        <v>264</v>
      </c>
      <c r="D20" s="177"/>
      <c r="E20" s="177"/>
      <c r="F20" s="177"/>
      <c r="G20" s="177"/>
      <c r="H20" s="177"/>
      <c r="I20" s="177"/>
      <c r="J20" s="177"/>
      <c r="K20" s="177"/>
      <c r="L20" s="177"/>
      <c r="M20" s="177"/>
      <c r="N20" s="165"/>
      <c r="AE20" s="167"/>
      <c r="AF20" s="167"/>
      <c r="AG20" s="167"/>
      <c r="AH20" s="167"/>
      <c r="AI20" s="169"/>
      <c r="AT20" s="169"/>
      <c r="AU20" s="169"/>
      <c r="AV20" s="169"/>
      <c r="AW20" s="169"/>
    </row>
    <row r="21" spans="2:49" x14ac:dyDescent="0.2">
      <c r="B21" s="164"/>
      <c r="C21" s="180" t="s">
        <v>289</v>
      </c>
      <c r="D21" s="180"/>
      <c r="E21" s="180"/>
      <c r="F21" s="180"/>
      <c r="G21" s="180"/>
      <c r="H21" s="180"/>
      <c r="I21" s="180"/>
      <c r="J21" s="180"/>
      <c r="K21" s="180"/>
      <c r="L21" s="180"/>
      <c r="M21" s="180"/>
      <c r="N21" s="165"/>
      <c r="AE21" s="163"/>
      <c r="AF21" s="163"/>
      <c r="AG21" s="163"/>
      <c r="AH21" s="163"/>
    </row>
    <row r="22" spans="2:49" ht="14.25" customHeight="1" x14ac:dyDescent="0.25">
      <c r="B22" s="164"/>
      <c r="C22" s="176"/>
      <c r="D22" s="177"/>
      <c r="E22" s="177"/>
      <c r="F22" s="177"/>
      <c r="G22" s="177"/>
      <c r="H22" s="177"/>
      <c r="I22" s="177"/>
      <c r="J22" s="177"/>
      <c r="K22" s="177"/>
      <c r="L22" s="177"/>
      <c r="M22" s="177"/>
      <c r="N22" s="165"/>
      <c r="AE22" s="163"/>
      <c r="AF22" s="163"/>
      <c r="AG22" s="163"/>
      <c r="AH22" s="163"/>
      <c r="AI22" s="169"/>
    </row>
    <row r="23" spans="2:49" ht="14.25" customHeight="1" x14ac:dyDescent="0.25">
      <c r="B23" s="164"/>
      <c r="C23" s="176" t="s">
        <v>265</v>
      </c>
      <c r="D23" s="177"/>
      <c r="E23" s="177"/>
      <c r="F23" s="177"/>
      <c r="G23" s="177"/>
      <c r="H23" s="177"/>
      <c r="I23" s="177"/>
      <c r="J23" s="177"/>
      <c r="K23" s="177"/>
      <c r="L23" s="177"/>
      <c r="M23" s="177"/>
      <c r="N23" s="165"/>
      <c r="AE23" s="171"/>
      <c r="AF23" s="171"/>
      <c r="AG23" s="171"/>
      <c r="AH23" s="171"/>
      <c r="AI23" s="169"/>
    </row>
    <row r="24" spans="2:49" ht="14.25" customHeight="1" x14ac:dyDescent="0.2">
      <c r="B24" s="164"/>
      <c r="C24" s="180" t="s">
        <v>288</v>
      </c>
      <c r="D24" s="180"/>
      <c r="E24" s="180"/>
      <c r="F24" s="180"/>
      <c r="G24" s="180"/>
      <c r="H24" s="180"/>
      <c r="I24" s="180"/>
      <c r="J24" s="180"/>
      <c r="K24" s="180"/>
      <c r="L24" s="180"/>
      <c r="M24" s="180"/>
      <c r="N24" s="165"/>
      <c r="AE24" s="171"/>
      <c r="AF24" s="171"/>
      <c r="AG24" s="171"/>
      <c r="AH24" s="171"/>
      <c r="AI24" s="169"/>
    </row>
    <row r="25" spans="2:49" ht="14.25" customHeight="1" x14ac:dyDescent="0.2">
      <c r="B25" s="172"/>
      <c r="C25" s="181"/>
      <c r="D25" s="181"/>
      <c r="E25" s="181"/>
      <c r="F25" s="181"/>
      <c r="G25" s="181"/>
      <c r="H25" s="181"/>
      <c r="I25" s="181"/>
      <c r="J25" s="181"/>
      <c r="K25" s="181"/>
      <c r="L25" s="181"/>
      <c r="M25" s="181"/>
      <c r="N25" s="173"/>
      <c r="AE25" s="169"/>
      <c r="AF25" s="169"/>
      <c r="AG25" s="169"/>
      <c r="AH25" s="169"/>
    </row>
    <row r="26" spans="2:49" ht="14.25" customHeight="1" x14ac:dyDescent="0.2">
      <c r="AF26" s="169"/>
      <c r="AG26" s="169"/>
      <c r="AH26" s="169"/>
      <c r="AI26" s="169"/>
    </row>
    <row r="27" spans="2:49" ht="23.45" customHeight="1" x14ac:dyDescent="0.2">
      <c r="B27" s="187" t="s">
        <v>252</v>
      </c>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9"/>
    </row>
    <row r="28" spans="2:49" x14ac:dyDescent="0.2">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row>
    <row r="29" spans="2:49" ht="42" customHeight="1" x14ac:dyDescent="0.2">
      <c r="B29" s="191" t="s">
        <v>287</v>
      </c>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row>
    <row r="30" spans="2:49" x14ac:dyDescent="0.2">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row>
    <row r="31" spans="2:49" ht="16.5" customHeight="1" x14ac:dyDescent="0.2">
      <c r="B31" s="192" t="s">
        <v>77</v>
      </c>
      <c r="C31" s="193"/>
      <c r="D31" s="193"/>
      <c r="E31" s="193"/>
      <c r="F31" s="193"/>
      <c r="G31" s="194"/>
      <c r="H31" s="195"/>
      <c r="I31" s="192" t="s">
        <v>78</v>
      </c>
      <c r="J31" s="193"/>
      <c r="K31" s="193"/>
      <c r="L31" s="193"/>
      <c r="M31" s="193"/>
      <c r="N31" s="194"/>
      <c r="O31" s="195"/>
      <c r="P31" s="192" t="s">
        <v>79</v>
      </c>
      <c r="Q31" s="193"/>
      <c r="R31" s="193"/>
      <c r="S31" s="193"/>
      <c r="T31" s="193"/>
      <c r="U31" s="194"/>
      <c r="V31" s="195"/>
      <c r="W31" s="192" t="s">
        <v>80</v>
      </c>
      <c r="X31" s="193"/>
      <c r="Y31" s="193"/>
      <c r="Z31" s="193"/>
      <c r="AA31" s="193"/>
      <c r="AB31" s="194"/>
      <c r="AC31" s="195"/>
      <c r="AD31" s="192" t="s">
        <v>81</v>
      </c>
      <c r="AE31" s="193"/>
      <c r="AF31" s="193"/>
      <c r="AG31" s="193"/>
      <c r="AH31" s="193"/>
      <c r="AI31" s="194"/>
    </row>
    <row r="32" spans="2:49" x14ac:dyDescent="0.2">
      <c r="B32" s="196" t="s">
        <v>274</v>
      </c>
      <c r="C32" s="197"/>
      <c r="D32" s="197"/>
      <c r="E32" s="197"/>
      <c r="F32" s="197"/>
      <c r="G32" s="198"/>
      <c r="H32" s="195"/>
      <c r="I32" s="196" t="s">
        <v>276</v>
      </c>
      <c r="J32" s="197"/>
      <c r="K32" s="197"/>
      <c r="L32" s="197"/>
      <c r="M32" s="197"/>
      <c r="N32" s="198"/>
      <c r="O32" s="195"/>
      <c r="P32" s="196" t="s">
        <v>267</v>
      </c>
      <c r="Q32" s="197"/>
      <c r="R32" s="197"/>
      <c r="S32" s="197"/>
      <c r="T32" s="197"/>
      <c r="U32" s="198"/>
      <c r="V32" s="195"/>
      <c r="W32" s="196" t="s">
        <v>268</v>
      </c>
      <c r="X32" s="197"/>
      <c r="Y32" s="197"/>
      <c r="Z32" s="197"/>
      <c r="AA32" s="197"/>
      <c r="AB32" s="198"/>
      <c r="AC32" s="195"/>
      <c r="AD32" s="196" t="s">
        <v>269</v>
      </c>
      <c r="AE32" s="197"/>
      <c r="AF32" s="197"/>
      <c r="AG32" s="197"/>
      <c r="AH32" s="197"/>
      <c r="AI32" s="198"/>
    </row>
    <row r="33" spans="2:35" x14ac:dyDescent="0.2">
      <c r="B33" s="199"/>
      <c r="C33" s="200"/>
      <c r="D33" s="200"/>
      <c r="E33" s="200"/>
      <c r="F33" s="200"/>
      <c r="G33" s="201"/>
      <c r="H33" s="195"/>
      <c r="I33" s="199"/>
      <c r="J33" s="200"/>
      <c r="K33" s="200"/>
      <c r="L33" s="200"/>
      <c r="M33" s="200"/>
      <c r="N33" s="201"/>
      <c r="O33" s="195"/>
      <c r="P33" s="199"/>
      <c r="Q33" s="200"/>
      <c r="R33" s="200"/>
      <c r="S33" s="200"/>
      <c r="T33" s="200"/>
      <c r="U33" s="201"/>
      <c r="V33" s="195"/>
      <c r="W33" s="199"/>
      <c r="X33" s="200"/>
      <c r="Y33" s="200"/>
      <c r="Z33" s="200"/>
      <c r="AA33" s="200"/>
      <c r="AB33" s="201"/>
      <c r="AC33" s="195"/>
      <c r="AD33" s="199"/>
      <c r="AE33" s="200"/>
      <c r="AF33" s="200"/>
      <c r="AG33" s="200"/>
      <c r="AH33" s="200"/>
      <c r="AI33" s="201"/>
    </row>
    <row r="34" spans="2:35" x14ac:dyDescent="0.2">
      <c r="B34" s="199"/>
      <c r="C34" s="200"/>
      <c r="D34" s="200"/>
      <c r="E34" s="200"/>
      <c r="F34" s="200"/>
      <c r="G34" s="201"/>
      <c r="H34" s="195"/>
      <c r="I34" s="199"/>
      <c r="J34" s="200"/>
      <c r="K34" s="200"/>
      <c r="L34" s="200"/>
      <c r="M34" s="200"/>
      <c r="N34" s="201"/>
      <c r="O34" s="195"/>
      <c r="P34" s="199"/>
      <c r="Q34" s="200"/>
      <c r="R34" s="200"/>
      <c r="S34" s="200"/>
      <c r="T34" s="200"/>
      <c r="U34" s="201"/>
      <c r="V34" s="195"/>
      <c r="W34" s="199"/>
      <c r="X34" s="200"/>
      <c r="Y34" s="200"/>
      <c r="Z34" s="200"/>
      <c r="AA34" s="200"/>
      <c r="AB34" s="201"/>
      <c r="AC34" s="195"/>
      <c r="AD34" s="199"/>
      <c r="AE34" s="200"/>
      <c r="AF34" s="200"/>
      <c r="AG34" s="200"/>
      <c r="AH34" s="200"/>
      <c r="AI34" s="201"/>
    </row>
    <row r="35" spans="2:35" x14ac:dyDescent="0.2">
      <c r="B35" s="199"/>
      <c r="C35" s="200"/>
      <c r="D35" s="200"/>
      <c r="E35" s="200"/>
      <c r="F35" s="200"/>
      <c r="G35" s="201"/>
      <c r="H35" s="195"/>
      <c r="I35" s="199"/>
      <c r="J35" s="200"/>
      <c r="K35" s="200"/>
      <c r="L35" s="200"/>
      <c r="M35" s="200"/>
      <c r="N35" s="201"/>
      <c r="O35" s="195"/>
      <c r="P35" s="199"/>
      <c r="Q35" s="200"/>
      <c r="R35" s="200"/>
      <c r="S35" s="200"/>
      <c r="T35" s="200"/>
      <c r="U35" s="201"/>
      <c r="V35" s="195"/>
      <c r="W35" s="199"/>
      <c r="X35" s="200"/>
      <c r="Y35" s="200"/>
      <c r="Z35" s="200"/>
      <c r="AA35" s="200"/>
      <c r="AB35" s="201"/>
      <c r="AC35" s="195"/>
      <c r="AD35" s="199"/>
      <c r="AE35" s="200"/>
      <c r="AF35" s="200"/>
      <c r="AG35" s="200"/>
      <c r="AH35" s="200"/>
      <c r="AI35" s="201"/>
    </row>
    <row r="36" spans="2:35" x14ac:dyDescent="0.2">
      <c r="B36" s="202" t="s">
        <v>275</v>
      </c>
      <c r="C36" s="179"/>
      <c r="D36" s="179"/>
      <c r="E36" s="179"/>
      <c r="F36" s="179"/>
      <c r="G36" s="203"/>
      <c r="H36" s="195"/>
      <c r="I36" s="182" t="s">
        <v>277</v>
      </c>
      <c r="J36" s="178"/>
      <c r="K36" s="178"/>
      <c r="L36" s="178"/>
      <c r="M36" s="178"/>
      <c r="N36" s="183"/>
      <c r="O36" s="195"/>
      <c r="P36" s="182" t="s">
        <v>278</v>
      </c>
      <c r="Q36" s="178"/>
      <c r="R36" s="178"/>
      <c r="S36" s="178"/>
      <c r="T36" s="178"/>
      <c r="U36" s="183"/>
      <c r="V36" s="195"/>
      <c r="W36" s="182" t="s">
        <v>281</v>
      </c>
      <c r="X36" s="178"/>
      <c r="Y36" s="178"/>
      <c r="Z36" s="178"/>
      <c r="AA36" s="178"/>
      <c r="AB36" s="183"/>
      <c r="AC36" s="195"/>
      <c r="AD36" s="182" t="s">
        <v>284</v>
      </c>
      <c r="AE36" s="178"/>
      <c r="AF36" s="178"/>
      <c r="AG36" s="178"/>
      <c r="AH36" s="178"/>
      <c r="AI36" s="183"/>
    </row>
    <row r="37" spans="2:35" x14ac:dyDescent="0.2">
      <c r="B37" s="202"/>
      <c r="C37" s="179"/>
      <c r="D37" s="179"/>
      <c r="E37" s="179"/>
      <c r="F37" s="179"/>
      <c r="G37" s="203"/>
      <c r="H37" s="195"/>
      <c r="I37" s="182"/>
      <c r="J37" s="178"/>
      <c r="K37" s="178"/>
      <c r="L37" s="178"/>
      <c r="M37" s="178"/>
      <c r="N37" s="183"/>
      <c r="O37" s="195"/>
      <c r="P37" s="182"/>
      <c r="Q37" s="178"/>
      <c r="R37" s="178"/>
      <c r="S37" s="178"/>
      <c r="T37" s="178"/>
      <c r="U37" s="183"/>
      <c r="V37" s="195"/>
      <c r="W37" s="182"/>
      <c r="X37" s="178"/>
      <c r="Y37" s="178"/>
      <c r="Z37" s="178"/>
      <c r="AA37" s="178"/>
      <c r="AB37" s="183"/>
      <c r="AC37" s="195"/>
      <c r="AD37" s="182"/>
      <c r="AE37" s="178"/>
      <c r="AF37" s="178"/>
      <c r="AG37" s="178"/>
      <c r="AH37" s="178"/>
      <c r="AI37" s="183"/>
    </row>
    <row r="38" spans="2:35" x14ac:dyDescent="0.2">
      <c r="B38" s="202"/>
      <c r="C38" s="179"/>
      <c r="D38" s="179"/>
      <c r="E38" s="179"/>
      <c r="F38" s="179"/>
      <c r="G38" s="203"/>
      <c r="H38" s="195"/>
      <c r="I38" s="182"/>
      <c r="J38" s="178"/>
      <c r="K38" s="178"/>
      <c r="L38" s="178"/>
      <c r="M38" s="178"/>
      <c r="N38" s="183"/>
      <c r="O38" s="195"/>
      <c r="P38" s="182"/>
      <c r="Q38" s="178"/>
      <c r="R38" s="178"/>
      <c r="S38" s="178"/>
      <c r="T38" s="178"/>
      <c r="U38" s="183"/>
      <c r="V38" s="195"/>
      <c r="W38" s="182"/>
      <c r="X38" s="178"/>
      <c r="Y38" s="178"/>
      <c r="Z38" s="178"/>
      <c r="AA38" s="178"/>
      <c r="AB38" s="183"/>
      <c r="AC38" s="195"/>
      <c r="AD38" s="182"/>
      <c r="AE38" s="178"/>
      <c r="AF38" s="178"/>
      <c r="AG38" s="178"/>
      <c r="AH38" s="178"/>
      <c r="AI38" s="183"/>
    </row>
    <row r="39" spans="2:35" x14ac:dyDescent="0.2">
      <c r="B39" s="202"/>
      <c r="C39" s="179"/>
      <c r="D39" s="179"/>
      <c r="E39" s="179"/>
      <c r="F39" s="179"/>
      <c r="G39" s="203"/>
      <c r="H39" s="195"/>
      <c r="I39" s="182"/>
      <c r="J39" s="178"/>
      <c r="K39" s="178"/>
      <c r="L39" s="178"/>
      <c r="M39" s="178"/>
      <c r="N39" s="183"/>
      <c r="O39" s="195"/>
      <c r="P39" s="182"/>
      <c r="Q39" s="178"/>
      <c r="R39" s="178"/>
      <c r="S39" s="178"/>
      <c r="T39" s="178"/>
      <c r="U39" s="183"/>
      <c r="V39" s="195"/>
      <c r="W39" s="182"/>
      <c r="X39" s="178"/>
      <c r="Y39" s="178"/>
      <c r="Z39" s="178"/>
      <c r="AA39" s="178"/>
      <c r="AB39" s="183"/>
      <c r="AC39" s="195"/>
      <c r="AD39" s="182"/>
      <c r="AE39" s="178"/>
      <c r="AF39" s="178"/>
      <c r="AG39" s="178"/>
      <c r="AH39" s="178"/>
      <c r="AI39" s="183"/>
    </row>
    <row r="40" spans="2:35" x14ac:dyDescent="0.2">
      <c r="B40" s="202"/>
      <c r="C40" s="179"/>
      <c r="D40" s="179"/>
      <c r="E40" s="179"/>
      <c r="F40" s="179"/>
      <c r="G40" s="203"/>
      <c r="H40" s="195"/>
      <c r="I40" s="182"/>
      <c r="J40" s="178"/>
      <c r="K40" s="178"/>
      <c r="L40" s="178"/>
      <c r="M40" s="178"/>
      <c r="N40" s="183"/>
      <c r="O40" s="195"/>
      <c r="P40" s="182"/>
      <c r="Q40" s="178"/>
      <c r="R40" s="178"/>
      <c r="S40" s="178"/>
      <c r="T40" s="178"/>
      <c r="U40" s="183"/>
      <c r="V40" s="195"/>
      <c r="W40" s="182"/>
      <c r="X40" s="178"/>
      <c r="Y40" s="178"/>
      <c r="Z40" s="178"/>
      <c r="AA40" s="178"/>
      <c r="AB40" s="183"/>
      <c r="AC40" s="195"/>
      <c r="AD40" s="182"/>
      <c r="AE40" s="178"/>
      <c r="AF40" s="178"/>
      <c r="AG40" s="178"/>
      <c r="AH40" s="178"/>
      <c r="AI40" s="183"/>
    </row>
    <row r="41" spans="2:35" x14ac:dyDescent="0.2">
      <c r="B41" s="202"/>
      <c r="C41" s="179"/>
      <c r="D41" s="179"/>
      <c r="E41" s="179"/>
      <c r="F41" s="179"/>
      <c r="G41" s="203"/>
      <c r="H41" s="195"/>
      <c r="I41" s="182"/>
      <c r="J41" s="178"/>
      <c r="K41" s="178"/>
      <c r="L41" s="178"/>
      <c r="M41" s="178"/>
      <c r="N41" s="183"/>
      <c r="O41" s="195"/>
      <c r="P41" s="182"/>
      <c r="Q41" s="178"/>
      <c r="R41" s="178"/>
      <c r="S41" s="178"/>
      <c r="T41" s="178"/>
      <c r="U41" s="183"/>
      <c r="V41" s="195"/>
      <c r="W41" s="182"/>
      <c r="X41" s="178"/>
      <c r="Y41" s="178"/>
      <c r="Z41" s="178"/>
      <c r="AA41" s="178"/>
      <c r="AB41" s="183"/>
      <c r="AC41" s="195"/>
      <c r="AD41" s="182"/>
      <c r="AE41" s="178"/>
      <c r="AF41" s="178"/>
      <c r="AG41" s="178"/>
      <c r="AH41" s="178"/>
      <c r="AI41" s="183"/>
    </row>
    <row r="42" spans="2:35" x14ac:dyDescent="0.2">
      <c r="B42" s="202"/>
      <c r="C42" s="179"/>
      <c r="D42" s="179"/>
      <c r="E42" s="179"/>
      <c r="F42" s="179"/>
      <c r="G42" s="203"/>
      <c r="H42" s="195"/>
      <c r="I42" s="182"/>
      <c r="J42" s="178"/>
      <c r="K42" s="178"/>
      <c r="L42" s="178"/>
      <c r="M42" s="178"/>
      <c r="N42" s="183"/>
      <c r="O42" s="195"/>
      <c r="P42" s="182"/>
      <c r="Q42" s="178"/>
      <c r="R42" s="178"/>
      <c r="S42" s="178"/>
      <c r="T42" s="178"/>
      <c r="U42" s="183"/>
      <c r="V42" s="195"/>
      <c r="W42" s="182"/>
      <c r="X42" s="178"/>
      <c r="Y42" s="178"/>
      <c r="Z42" s="178"/>
      <c r="AA42" s="178"/>
      <c r="AB42" s="183"/>
      <c r="AC42" s="195"/>
      <c r="AD42" s="182"/>
      <c r="AE42" s="178"/>
      <c r="AF42" s="178"/>
      <c r="AG42" s="178"/>
      <c r="AH42" s="178"/>
      <c r="AI42" s="183"/>
    </row>
    <row r="43" spans="2:35" x14ac:dyDescent="0.2">
      <c r="B43" s="202"/>
      <c r="C43" s="179"/>
      <c r="D43" s="179"/>
      <c r="E43" s="179"/>
      <c r="F43" s="179"/>
      <c r="G43" s="203"/>
      <c r="H43" s="195"/>
      <c r="I43" s="182"/>
      <c r="J43" s="178"/>
      <c r="K43" s="178"/>
      <c r="L43" s="178"/>
      <c r="M43" s="178"/>
      <c r="N43" s="183"/>
      <c r="O43" s="195"/>
      <c r="P43" s="182"/>
      <c r="Q43" s="178"/>
      <c r="R43" s="178"/>
      <c r="S43" s="178"/>
      <c r="T43" s="178"/>
      <c r="U43" s="183"/>
      <c r="V43" s="195"/>
      <c r="W43" s="182"/>
      <c r="X43" s="178"/>
      <c r="Y43" s="178"/>
      <c r="Z43" s="178"/>
      <c r="AA43" s="178"/>
      <c r="AB43" s="183"/>
      <c r="AC43" s="195"/>
      <c r="AD43" s="182"/>
      <c r="AE43" s="178"/>
      <c r="AF43" s="178"/>
      <c r="AG43" s="178"/>
      <c r="AH43" s="178"/>
      <c r="AI43" s="183"/>
    </row>
    <row r="44" spans="2:35" x14ac:dyDescent="0.2">
      <c r="B44" s="202"/>
      <c r="C44" s="179"/>
      <c r="D44" s="179"/>
      <c r="E44" s="179"/>
      <c r="F44" s="179"/>
      <c r="G44" s="203"/>
      <c r="H44" s="195"/>
      <c r="I44" s="182"/>
      <c r="J44" s="178"/>
      <c r="K44" s="178"/>
      <c r="L44" s="178"/>
      <c r="M44" s="178"/>
      <c r="N44" s="183"/>
      <c r="O44" s="195"/>
      <c r="P44" s="182"/>
      <c r="Q44" s="178"/>
      <c r="R44" s="178"/>
      <c r="S44" s="178"/>
      <c r="T44" s="178"/>
      <c r="U44" s="183"/>
      <c r="V44" s="195"/>
      <c r="W44" s="182"/>
      <c r="X44" s="178"/>
      <c r="Y44" s="178"/>
      <c r="Z44" s="178"/>
      <c r="AA44" s="178"/>
      <c r="AB44" s="183"/>
      <c r="AC44" s="195"/>
      <c r="AD44" s="182"/>
      <c r="AE44" s="178"/>
      <c r="AF44" s="178"/>
      <c r="AG44" s="178"/>
      <c r="AH44" s="178"/>
      <c r="AI44" s="183"/>
    </row>
    <row r="45" spans="2:35" x14ac:dyDescent="0.2">
      <c r="B45" s="202"/>
      <c r="C45" s="179"/>
      <c r="D45" s="179"/>
      <c r="E45" s="179"/>
      <c r="F45" s="179"/>
      <c r="G45" s="203"/>
      <c r="H45" s="195"/>
      <c r="I45" s="182"/>
      <c r="J45" s="178"/>
      <c r="K45" s="178"/>
      <c r="L45" s="178"/>
      <c r="M45" s="178"/>
      <c r="N45" s="183"/>
      <c r="O45" s="195"/>
      <c r="P45" s="182"/>
      <c r="Q45" s="178"/>
      <c r="R45" s="178"/>
      <c r="S45" s="178"/>
      <c r="T45" s="178"/>
      <c r="U45" s="183"/>
      <c r="V45" s="195"/>
      <c r="W45" s="182"/>
      <c r="X45" s="178"/>
      <c r="Y45" s="178"/>
      <c r="Z45" s="178"/>
      <c r="AA45" s="178"/>
      <c r="AB45" s="183"/>
      <c r="AC45" s="195"/>
      <c r="AD45" s="182"/>
      <c r="AE45" s="178"/>
      <c r="AF45" s="178"/>
      <c r="AG45" s="178"/>
      <c r="AH45" s="178"/>
      <c r="AI45" s="183"/>
    </row>
    <row r="46" spans="2:35" x14ac:dyDescent="0.2">
      <c r="B46" s="202"/>
      <c r="C46" s="179"/>
      <c r="D46" s="179"/>
      <c r="E46" s="179"/>
      <c r="F46" s="179"/>
      <c r="G46" s="203"/>
      <c r="H46" s="195"/>
      <c r="I46" s="182"/>
      <c r="J46" s="178"/>
      <c r="K46" s="178"/>
      <c r="L46" s="178"/>
      <c r="M46" s="178"/>
      <c r="N46" s="183"/>
      <c r="O46" s="195"/>
      <c r="P46" s="182"/>
      <c r="Q46" s="178"/>
      <c r="R46" s="178"/>
      <c r="S46" s="178"/>
      <c r="T46" s="178"/>
      <c r="U46" s="183"/>
      <c r="V46" s="195"/>
      <c r="W46" s="182"/>
      <c r="X46" s="178"/>
      <c r="Y46" s="178"/>
      <c r="Z46" s="178"/>
      <c r="AA46" s="178"/>
      <c r="AB46" s="183"/>
      <c r="AC46" s="195"/>
      <c r="AD46" s="182"/>
      <c r="AE46" s="178"/>
      <c r="AF46" s="178"/>
      <c r="AG46" s="178"/>
      <c r="AH46" s="178"/>
      <c r="AI46" s="183"/>
    </row>
    <row r="47" spans="2:35" x14ac:dyDescent="0.2">
      <c r="B47" s="202"/>
      <c r="C47" s="179"/>
      <c r="D47" s="179"/>
      <c r="E47" s="179"/>
      <c r="F47" s="179"/>
      <c r="G47" s="203"/>
      <c r="H47" s="195"/>
      <c r="I47" s="182"/>
      <c r="J47" s="178"/>
      <c r="K47" s="178"/>
      <c r="L47" s="178"/>
      <c r="M47" s="178"/>
      <c r="N47" s="183"/>
      <c r="O47" s="195"/>
      <c r="P47" s="182"/>
      <c r="Q47" s="178"/>
      <c r="R47" s="178"/>
      <c r="S47" s="178"/>
      <c r="T47" s="178"/>
      <c r="U47" s="183"/>
      <c r="V47" s="195"/>
      <c r="W47" s="182"/>
      <c r="X47" s="178"/>
      <c r="Y47" s="178"/>
      <c r="Z47" s="178"/>
      <c r="AA47" s="178"/>
      <c r="AB47" s="183"/>
      <c r="AC47" s="195"/>
      <c r="AD47" s="182"/>
      <c r="AE47" s="178"/>
      <c r="AF47" s="178"/>
      <c r="AG47" s="178"/>
      <c r="AH47" s="178"/>
      <c r="AI47" s="183"/>
    </row>
    <row r="48" spans="2:35" x14ac:dyDescent="0.2">
      <c r="B48" s="202"/>
      <c r="C48" s="179"/>
      <c r="D48" s="179"/>
      <c r="E48" s="179"/>
      <c r="F48" s="179"/>
      <c r="G48" s="203"/>
      <c r="H48" s="195"/>
      <c r="I48" s="182"/>
      <c r="J48" s="178"/>
      <c r="K48" s="178"/>
      <c r="L48" s="178"/>
      <c r="M48" s="178"/>
      <c r="N48" s="183"/>
      <c r="O48" s="195"/>
      <c r="P48" s="182"/>
      <c r="Q48" s="178"/>
      <c r="R48" s="178"/>
      <c r="S48" s="178"/>
      <c r="T48" s="178"/>
      <c r="U48" s="183"/>
      <c r="V48" s="195"/>
      <c r="W48" s="182"/>
      <c r="X48" s="178"/>
      <c r="Y48" s="178"/>
      <c r="Z48" s="178"/>
      <c r="AA48" s="178"/>
      <c r="AB48" s="183"/>
      <c r="AC48" s="195"/>
      <c r="AD48" s="182"/>
      <c r="AE48" s="178"/>
      <c r="AF48" s="178"/>
      <c r="AG48" s="178"/>
      <c r="AH48" s="178"/>
      <c r="AI48" s="183"/>
    </row>
    <row r="49" spans="2:35" x14ac:dyDescent="0.2">
      <c r="B49" s="202"/>
      <c r="C49" s="179"/>
      <c r="D49" s="179"/>
      <c r="E49" s="179"/>
      <c r="F49" s="179"/>
      <c r="G49" s="203"/>
      <c r="H49" s="195"/>
      <c r="I49" s="182"/>
      <c r="J49" s="178"/>
      <c r="K49" s="178"/>
      <c r="L49" s="178"/>
      <c r="M49" s="178"/>
      <c r="N49" s="183"/>
      <c r="O49" s="195"/>
      <c r="P49" s="182"/>
      <c r="Q49" s="178"/>
      <c r="R49" s="178"/>
      <c r="S49" s="178"/>
      <c r="T49" s="178"/>
      <c r="U49" s="183"/>
      <c r="V49" s="195"/>
      <c r="W49" s="182"/>
      <c r="X49" s="178"/>
      <c r="Y49" s="178"/>
      <c r="Z49" s="178"/>
      <c r="AA49" s="178"/>
      <c r="AB49" s="183"/>
      <c r="AC49" s="195"/>
      <c r="AD49" s="182"/>
      <c r="AE49" s="178"/>
      <c r="AF49" s="178"/>
      <c r="AG49" s="178"/>
      <c r="AH49" s="178"/>
      <c r="AI49" s="183"/>
    </row>
    <row r="50" spans="2:35" x14ac:dyDescent="0.2">
      <c r="B50" s="202"/>
      <c r="C50" s="179"/>
      <c r="D50" s="179"/>
      <c r="E50" s="179"/>
      <c r="F50" s="179"/>
      <c r="G50" s="203"/>
      <c r="H50" s="195"/>
      <c r="I50" s="182"/>
      <c r="J50" s="178"/>
      <c r="K50" s="178"/>
      <c r="L50" s="178"/>
      <c r="M50" s="178"/>
      <c r="N50" s="183"/>
      <c r="O50" s="195"/>
      <c r="P50" s="182"/>
      <c r="Q50" s="178"/>
      <c r="R50" s="178"/>
      <c r="S50" s="178"/>
      <c r="T50" s="178"/>
      <c r="U50" s="183"/>
      <c r="V50" s="195"/>
      <c r="W50" s="182"/>
      <c r="X50" s="178"/>
      <c r="Y50" s="178"/>
      <c r="Z50" s="178"/>
      <c r="AA50" s="178"/>
      <c r="AB50" s="183"/>
      <c r="AC50" s="195"/>
      <c r="AD50" s="182"/>
      <c r="AE50" s="178"/>
      <c r="AF50" s="178"/>
      <c r="AG50" s="178"/>
      <c r="AH50" s="178"/>
      <c r="AI50" s="183"/>
    </row>
    <row r="51" spans="2:35" x14ac:dyDescent="0.2">
      <c r="B51" s="202"/>
      <c r="C51" s="179"/>
      <c r="D51" s="179"/>
      <c r="E51" s="179"/>
      <c r="F51" s="179"/>
      <c r="G51" s="203"/>
      <c r="H51" s="195"/>
      <c r="I51" s="182"/>
      <c r="J51" s="178"/>
      <c r="K51" s="178"/>
      <c r="L51" s="178"/>
      <c r="M51" s="178"/>
      <c r="N51" s="183"/>
      <c r="O51" s="195"/>
      <c r="P51" s="182"/>
      <c r="Q51" s="178"/>
      <c r="R51" s="178"/>
      <c r="S51" s="178"/>
      <c r="T51" s="178"/>
      <c r="U51" s="183"/>
      <c r="V51" s="195"/>
      <c r="W51" s="182"/>
      <c r="X51" s="178"/>
      <c r="Y51" s="178"/>
      <c r="Z51" s="178"/>
      <c r="AA51" s="178"/>
      <c r="AB51" s="183"/>
      <c r="AC51" s="195"/>
      <c r="AD51" s="182"/>
      <c r="AE51" s="178"/>
      <c r="AF51" s="178"/>
      <c r="AG51" s="178"/>
      <c r="AH51" s="178"/>
      <c r="AI51" s="183"/>
    </row>
    <row r="52" spans="2:35" x14ac:dyDescent="0.2">
      <c r="B52" s="202"/>
      <c r="C52" s="179"/>
      <c r="D52" s="179"/>
      <c r="E52" s="179"/>
      <c r="F52" s="179"/>
      <c r="G52" s="203"/>
      <c r="H52" s="195"/>
      <c r="I52" s="182"/>
      <c r="J52" s="178"/>
      <c r="K52" s="178"/>
      <c r="L52" s="178"/>
      <c r="M52" s="178"/>
      <c r="N52" s="183"/>
      <c r="O52" s="195"/>
      <c r="P52" s="182"/>
      <c r="Q52" s="178"/>
      <c r="R52" s="178"/>
      <c r="S52" s="178"/>
      <c r="T52" s="178"/>
      <c r="U52" s="183"/>
      <c r="V52" s="195"/>
      <c r="W52" s="182"/>
      <c r="X52" s="178"/>
      <c r="Y52" s="178"/>
      <c r="Z52" s="178"/>
      <c r="AA52" s="178"/>
      <c r="AB52" s="183"/>
      <c r="AC52" s="195"/>
      <c r="AD52" s="182"/>
      <c r="AE52" s="178"/>
      <c r="AF52" s="178"/>
      <c r="AG52" s="178"/>
      <c r="AH52" s="178"/>
      <c r="AI52" s="183"/>
    </row>
    <row r="53" spans="2:35" x14ac:dyDescent="0.2">
      <c r="B53" s="202"/>
      <c r="C53" s="179"/>
      <c r="D53" s="179"/>
      <c r="E53" s="179"/>
      <c r="F53" s="179"/>
      <c r="G53" s="203"/>
      <c r="H53" s="195"/>
      <c r="I53" s="182"/>
      <c r="J53" s="178"/>
      <c r="K53" s="178"/>
      <c r="L53" s="178"/>
      <c r="M53" s="178"/>
      <c r="N53" s="183"/>
      <c r="O53" s="195"/>
      <c r="P53" s="182"/>
      <c r="Q53" s="178"/>
      <c r="R53" s="178"/>
      <c r="S53" s="178"/>
      <c r="T53" s="178"/>
      <c r="U53" s="183"/>
      <c r="V53" s="195"/>
      <c r="W53" s="182"/>
      <c r="X53" s="178"/>
      <c r="Y53" s="178"/>
      <c r="Z53" s="178"/>
      <c r="AA53" s="178"/>
      <c r="AB53" s="183"/>
      <c r="AC53" s="195"/>
      <c r="AD53" s="182"/>
      <c r="AE53" s="178"/>
      <c r="AF53" s="178"/>
      <c r="AG53" s="178"/>
      <c r="AH53" s="178"/>
      <c r="AI53" s="183"/>
    </row>
    <row r="54" spans="2:35" x14ac:dyDescent="0.2">
      <c r="B54" s="202"/>
      <c r="C54" s="179"/>
      <c r="D54" s="179"/>
      <c r="E54" s="179"/>
      <c r="F54" s="179"/>
      <c r="G54" s="203"/>
      <c r="H54" s="195"/>
      <c r="I54" s="182"/>
      <c r="J54" s="178"/>
      <c r="K54" s="178"/>
      <c r="L54" s="178"/>
      <c r="M54" s="178"/>
      <c r="N54" s="183"/>
      <c r="O54" s="195"/>
      <c r="P54" s="182"/>
      <c r="Q54" s="178"/>
      <c r="R54" s="178"/>
      <c r="S54" s="178"/>
      <c r="T54" s="178"/>
      <c r="U54" s="183"/>
      <c r="V54" s="195"/>
      <c r="W54" s="182"/>
      <c r="X54" s="178"/>
      <c r="Y54" s="178"/>
      <c r="Z54" s="178"/>
      <c r="AA54" s="178"/>
      <c r="AB54" s="183"/>
      <c r="AC54" s="195"/>
      <c r="AD54" s="182"/>
      <c r="AE54" s="178"/>
      <c r="AF54" s="178"/>
      <c r="AG54" s="178"/>
      <c r="AH54" s="178"/>
      <c r="AI54" s="183"/>
    </row>
    <row r="55" spans="2:35" x14ac:dyDescent="0.2">
      <c r="B55" s="202"/>
      <c r="C55" s="179"/>
      <c r="D55" s="179"/>
      <c r="E55" s="179"/>
      <c r="F55" s="179"/>
      <c r="G55" s="203"/>
      <c r="H55" s="195"/>
      <c r="I55" s="182"/>
      <c r="J55" s="178"/>
      <c r="K55" s="178"/>
      <c r="L55" s="178"/>
      <c r="M55" s="178"/>
      <c r="N55" s="183"/>
      <c r="O55" s="195"/>
      <c r="P55" s="182"/>
      <c r="Q55" s="178"/>
      <c r="R55" s="178"/>
      <c r="S55" s="178"/>
      <c r="T55" s="178"/>
      <c r="U55" s="183"/>
      <c r="V55" s="195"/>
      <c r="W55" s="182"/>
      <c r="X55" s="178"/>
      <c r="Y55" s="178"/>
      <c r="Z55" s="178"/>
      <c r="AA55" s="178"/>
      <c r="AB55" s="183"/>
      <c r="AC55" s="195"/>
      <c r="AD55" s="182"/>
      <c r="AE55" s="178"/>
      <c r="AF55" s="178"/>
      <c r="AG55" s="178"/>
      <c r="AH55" s="178"/>
      <c r="AI55" s="183"/>
    </row>
    <row r="56" spans="2:35" ht="15" x14ac:dyDescent="0.2">
      <c r="B56" s="202"/>
      <c r="C56" s="179"/>
      <c r="D56" s="179"/>
      <c r="E56" s="179"/>
      <c r="F56" s="179"/>
      <c r="G56" s="203"/>
      <c r="H56" s="195"/>
      <c r="I56" s="182"/>
      <c r="J56" s="178"/>
      <c r="K56" s="178"/>
      <c r="L56" s="178"/>
      <c r="M56" s="178"/>
      <c r="N56" s="183"/>
      <c r="O56" s="195"/>
      <c r="P56" s="184"/>
      <c r="Q56" s="185"/>
      <c r="R56" s="185"/>
      <c r="S56" s="185"/>
      <c r="T56" s="185"/>
      <c r="U56" s="186"/>
      <c r="V56" s="195"/>
      <c r="W56" s="184"/>
      <c r="X56" s="185"/>
      <c r="Y56" s="185"/>
      <c r="Z56" s="185"/>
      <c r="AA56" s="185"/>
      <c r="AB56" s="186"/>
      <c r="AC56" s="195"/>
      <c r="AD56" s="204"/>
      <c r="AE56" s="205"/>
      <c r="AF56" s="205"/>
      <c r="AG56" s="205"/>
      <c r="AH56" s="205"/>
      <c r="AI56" s="206"/>
    </row>
    <row r="57" spans="2:35" ht="16.5" x14ac:dyDescent="0.2">
      <c r="B57" s="202"/>
      <c r="C57" s="179"/>
      <c r="D57" s="179"/>
      <c r="E57" s="179"/>
      <c r="F57" s="179"/>
      <c r="G57" s="203"/>
      <c r="H57" s="195"/>
      <c r="I57" s="182"/>
      <c r="J57" s="178"/>
      <c r="K57" s="178"/>
      <c r="L57" s="178"/>
      <c r="M57" s="178"/>
      <c r="N57" s="183"/>
      <c r="O57" s="195"/>
      <c r="P57" s="192" t="s">
        <v>247</v>
      </c>
      <c r="Q57" s="193"/>
      <c r="R57" s="193"/>
      <c r="S57" s="207" t="s">
        <v>248</v>
      </c>
      <c r="T57" s="207"/>
      <c r="U57" s="207"/>
      <c r="V57" s="195"/>
      <c r="W57" s="192" t="s">
        <v>247</v>
      </c>
      <c r="X57" s="193"/>
      <c r="Y57" s="193"/>
      <c r="Z57" s="207" t="s">
        <v>248</v>
      </c>
      <c r="AA57" s="207"/>
      <c r="AB57" s="207"/>
      <c r="AC57" s="195"/>
      <c r="AD57" s="192" t="s">
        <v>247</v>
      </c>
      <c r="AE57" s="193"/>
      <c r="AF57" s="193"/>
      <c r="AG57" s="207" t="s">
        <v>248</v>
      </c>
      <c r="AH57" s="207"/>
      <c r="AI57" s="207"/>
    </row>
    <row r="58" spans="2:35" x14ac:dyDescent="0.2">
      <c r="B58" s="202"/>
      <c r="C58" s="179"/>
      <c r="D58" s="179"/>
      <c r="E58" s="179"/>
      <c r="F58" s="179"/>
      <c r="G58" s="203"/>
      <c r="H58" s="195"/>
      <c r="I58" s="182"/>
      <c r="J58" s="178"/>
      <c r="K58" s="178"/>
      <c r="L58" s="178"/>
      <c r="M58" s="178"/>
      <c r="N58" s="183"/>
      <c r="O58" s="195"/>
      <c r="P58" s="208" t="s">
        <v>280</v>
      </c>
      <c r="Q58" s="209"/>
      <c r="R58" s="210"/>
      <c r="S58" s="211" t="s">
        <v>279</v>
      </c>
      <c r="T58" s="212"/>
      <c r="U58" s="213"/>
      <c r="V58" s="195"/>
      <c r="W58" s="208" t="s">
        <v>282</v>
      </c>
      <c r="X58" s="209"/>
      <c r="Y58" s="210"/>
      <c r="Z58" s="211" t="s">
        <v>283</v>
      </c>
      <c r="AA58" s="212"/>
      <c r="AB58" s="213"/>
      <c r="AC58" s="195"/>
      <c r="AD58" s="208" t="s">
        <v>285</v>
      </c>
      <c r="AE58" s="209"/>
      <c r="AF58" s="210"/>
      <c r="AG58" s="211" t="s">
        <v>286</v>
      </c>
      <c r="AH58" s="212"/>
      <c r="AI58" s="213"/>
    </row>
    <row r="59" spans="2:35" x14ac:dyDescent="0.2">
      <c r="B59" s="202"/>
      <c r="C59" s="179"/>
      <c r="D59" s="179"/>
      <c r="E59" s="179"/>
      <c r="F59" s="179"/>
      <c r="G59" s="203"/>
      <c r="H59" s="195"/>
      <c r="I59" s="182"/>
      <c r="J59" s="178"/>
      <c r="K59" s="178"/>
      <c r="L59" s="178"/>
      <c r="M59" s="178"/>
      <c r="N59" s="183"/>
      <c r="O59" s="195"/>
      <c r="P59" s="211"/>
      <c r="Q59" s="212"/>
      <c r="R59" s="213"/>
      <c r="S59" s="211"/>
      <c r="T59" s="212"/>
      <c r="U59" s="213"/>
      <c r="V59" s="195"/>
      <c r="W59" s="211"/>
      <c r="X59" s="212"/>
      <c r="Y59" s="213"/>
      <c r="Z59" s="211"/>
      <c r="AA59" s="212"/>
      <c r="AB59" s="213"/>
      <c r="AC59" s="195"/>
      <c r="AD59" s="211"/>
      <c r="AE59" s="212"/>
      <c r="AF59" s="213"/>
      <c r="AG59" s="211"/>
      <c r="AH59" s="212"/>
      <c r="AI59" s="213"/>
    </row>
    <row r="60" spans="2:35" x14ac:dyDescent="0.2">
      <c r="B60" s="202"/>
      <c r="C60" s="179"/>
      <c r="D60" s="179"/>
      <c r="E60" s="179"/>
      <c r="F60" s="179"/>
      <c r="G60" s="203"/>
      <c r="H60" s="195"/>
      <c r="I60" s="182"/>
      <c r="J60" s="178"/>
      <c r="K60" s="178"/>
      <c r="L60" s="178"/>
      <c r="M60" s="178"/>
      <c r="N60" s="183"/>
      <c r="O60" s="195"/>
      <c r="P60" s="211"/>
      <c r="Q60" s="212"/>
      <c r="R60" s="213"/>
      <c r="S60" s="211"/>
      <c r="T60" s="212"/>
      <c r="U60" s="213"/>
      <c r="V60" s="195"/>
      <c r="W60" s="211"/>
      <c r="X60" s="212"/>
      <c r="Y60" s="213"/>
      <c r="Z60" s="211"/>
      <c r="AA60" s="212"/>
      <c r="AB60" s="213"/>
      <c r="AC60" s="195"/>
      <c r="AD60" s="211"/>
      <c r="AE60" s="212"/>
      <c r="AF60" s="213"/>
      <c r="AG60" s="211"/>
      <c r="AH60" s="212"/>
      <c r="AI60" s="213"/>
    </row>
    <row r="61" spans="2:35" x14ac:dyDescent="0.2">
      <c r="B61" s="202"/>
      <c r="C61" s="179"/>
      <c r="D61" s="179"/>
      <c r="E61" s="179"/>
      <c r="F61" s="179"/>
      <c r="G61" s="203"/>
      <c r="H61" s="195"/>
      <c r="I61" s="182"/>
      <c r="J61" s="178"/>
      <c r="K61" s="178"/>
      <c r="L61" s="178"/>
      <c r="M61" s="178"/>
      <c r="N61" s="183"/>
      <c r="O61" s="195"/>
      <c r="P61" s="211"/>
      <c r="Q61" s="212"/>
      <c r="R61" s="213"/>
      <c r="S61" s="211"/>
      <c r="T61" s="212"/>
      <c r="U61" s="213"/>
      <c r="V61" s="195"/>
      <c r="W61" s="211"/>
      <c r="X61" s="212"/>
      <c r="Y61" s="213"/>
      <c r="Z61" s="211"/>
      <c r="AA61" s="212"/>
      <c r="AB61" s="213"/>
      <c r="AC61" s="195"/>
      <c r="AD61" s="211"/>
      <c r="AE61" s="212"/>
      <c r="AF61" s="213"/>
      <c r="AG61" s="211"/>
      <c r="AH61" s="212"/>
      <c r="AI61" s="213"/>
    </row>
    <row r="62" spans="2:35" x14ac:dyDescent="0.2">
      <c r="B62" s="202"/>
      <c r="C62" s="179"/>
      <c r="D62" s="179"/>
      <c r="E62" s="179"/>
      <c r="F62" s="179"/>
      <c r="G62" s="203"/>
      <c r="H62" s="195"/>
      <c r="I62" s="182"/>
      <c r="J62" s="178"/>
      <c r="K62" s="178"/>
      <c r="L62" s="178"/>
      <c r="M62" s="178"/>
      <c r="N62" s="183"/>
      <c r="O62" s="195"/>
      <c r="P62" s="211"/>
      <c r="Q62" s="212"/>
      <c r="R62" s="213"/>
      <c r="S62" s="211"/>
      <c r="T62" s="212"/>
      <c r="U62" s="213"/>
      <c r="V62" s="195"/>
      <c r="W62" s="211"/>
      <c r="X62" s="212"/>
      <c r="Y62" s="213"/>
      <c r="Z62" s="211"/>
      <c r="AA62" s="212"/>
      <c r="AB62" s="213"/>
      <c r="AC62" s="195"/>
      <c r="AD62" s="211"/>
      <c r="AE62" s="212"/>
      <c r="AF62" s="213"/>
      <c r="AG62" s="211"/>
      <c r="AH62" s="212"/>
      <c r="AI62" s="213"/>
    </row>
    <row r="63" spans="2:35" x14ac:dyDescent="0.2">
      <c r="B63" s="202"/>
      <c r="C63" s="179"/>
      <c r="D63" s="179"/>
      <c r="E63" s="179"/>
      <c r="F63" s="179"/>
      <c r="G63" s="203"/>
      <c r="H63" s="195"/>
      <c r="I63" s="182"/>
      <c r="J63" s="178"/>
      <c r="K63" s="178"/>
      <c r="L63" s="178"/>
      <c r="M63" s="178"/>
      <c r="N63" s="183"/>
      <c r="O63" s="195"/>
      <c r="P63" s="211"/>
      <c r="Q63" s="212"/>
      <c r="R63" s="213"/>
      <c r="S63" s="211"/>
      <c r="T63" s="212"/>
      <c r="U63" s="213"/>
      <c r="V63" s="195"/>
      <c r="W63" s="211"/>
      <c r="X63" s="212"/>
      <c r="Y63" s="213"/>
      <c r="Z63" s="211"/>
      <c r="AA63" s="212"/>
      <c r="AB63" s="213"/>
      <c r="AC63" s="195"/>
      <c r="AD63" s="211"/>
      <c r="AE63" s="212"/>
      <c r="AF63" s="213"/>
      <c r="AG63" s="211"/>
      <c r="AH63" s="212"/>
      <c r="AI63" s="213"/>
    </row>
    <row r="64" spans="2:35" x14ac:dyDescent="0.2">
      <c r="B64" s="202"/>
      <c r="C64" s="179"/>
      <c r="D64" s="179"/>
      <c r="E64" s="179"/>
      <c r="F64" s="179"/>
      <c r="G64" s="203"/>
      <c r="H64" s="195"/>
      <c r="I64" s="182"/>
      <c r="J64" s="178"/>
      <c r="K64" s="178"/>
      <c r="L64" s="178"/>
      <c r="M64" s="178"/>
      <c r="N64" s="183"/>
      <c r="O64" s="195"/>
      <c r="P64" s="211"/>
      <c r="Q64" s="212"/>
      <c r="R64" s="213"/>
      <c r="S64" s="211"/>
      <c r="T64" s="212"/>
      <c r="U64" s="213"/>
      <c r="V64" s="195"/>
      <c r="W64" s="211"/>
      <c r="X64" s="212"/>
      <c r="Y64" s="213"/>
      <c r="Z64" s="211"/>
      <c r="AA64" s="212"/>
      <c r="AB64" s="213"/>
      <c r="AC64" s="195"/>
      <c r="AD64" s="211"/>
      <c r="AE64" s="212"/>
      <c r="AF64" s="213"/>
      <c r="AG64" s="211"/>
      <c r="AH64" s="212"/>
      <c r="AI64" s="213"/>
    </row>
    <row r="65" spans="2:43" x14ac:dyDescent="0.2">
      <c r="B65" s="202"/>
      <c r="C65" s="179"/>
      <c r="D65" s="179"/>
      <c r="E65" s="179"/>
      <c r="F65" s="179"/>
      <c r="G65" s="203"/>
      <c r="H65" s="195"/>
      <c r="I65" s="182"/>
      <c r="J65" s="178"/>
      <c r="K65" s="178"/>
      <c r="L65" s="178"/>
      <c r="M65" s="178"/>
      <c r="N65" s="183"/>
      <c r="O65" s="195"/>
      <c r="P65" s="211"/>
      <c r="Q65" s="212"/>
      <c r="R65" s="213"/>
      <c r="S65" s="211"/>
      <c r="T65" s="212"/>
      <c r="U65" s="213"/>
      <c r="V65" s="195"/>
      <c r="W65" s="211"/>
      <c r="X65" s="212"/>
      <c r="Y65" s="213"/>
      <c r="Z65" s="211"/>
      <c r="AA65" s="212"/>
      <c r="AB65" s="213"/>
      <c r="AC65" s="195"/>
      <c r="AD65" s="211"/>
      <c r="AE65" s="212"/>
      <c r="AF65" s="213"/>
      <c r="AG65" s="211"/>
      <c r="AH65" s="212"/>
      <c r="AI65" s="213"/>
    </row>
    <row r="66" spans="2:43" x14ac:dyDescent="0.2">
      <c r="B66" s="214"/>
      <c r="C66" s="215"/>
      <c r="D66" s="215"/>
      <c r="E66" s="215"/>
      <c r="F66" s="215"/>
      <c r="G66" s="216"/>
      <c r="H66" s="195"/>
      <c r="I66" s="184"/>
      <c r="J66" s="185"/>
      <c r="K66" s="185"/>
      <c r="L66" s="185"/>
      <c r="M66" s="185"/>
      <c r="N66" s="186"/>
      <c r="O66" s="195"/>
      <c r="P66" s="217"/>
      <c r="Q66" s="218"/>
      <c r="R66" s="219"/>
      <c r="S66" s="217"/>
      <c r="T66" s="218"/>
      <c r="U66" s="219"/>
      <c r="V66" s="195"/>
      <c r="W66" s="217"/>
      <c r="X66" s="218"/>
      <c r="Y66" s="219"/>
      <c r="Z66" s="217"/>
      <c r="AA66" s="218"/>
      <c r="AB66" s="219"/>
      <c r="AC66" s="195"/>
      <c r="AD66" s="217"/>
      <c r="AE66" s="218"/>
      <c r="AF66" s="219"/>
      <c r="AG66" s="217"/>
      <c r="AH66" s="218"/>
      <c r="AI66" s="219"/>
    </row>
    <row r="69" spans="2:43" s="174" customFormat="1" ht="23.45" customHeight="1" x14ac:dyDescent="0.2">
      <c r="B69" s="187" t="s">
        <v>253</v>
      </c>
      <c r="C69" s="188"/>
      <c r="D69" s="188"/>
      <c r="E69" s="188"/>
      <c r="F69" s="188"/>
      <c r="G69" s="188"/>
      <c r="H69" s="188"/>
      <c r="I69" s="188"/>
      <c r="J69" s="188"/>
      <c r="K69" s="188"/>
      <c r="L69" s="188"/>
      <c r="M69" s="188"/>
      <c r="N69" s="188"/>
      <c r="O69" s="188"/>
      <c r="P69" s="188"/>
      <c r="Q69" s="188"/>
      <c r="R69" s="188"/>
      <c r="S69" s="188"/>
      <c r="T69" s="188"/>
      <c r="U69" s="189"/>
      <c r="AK69" s="162"/>
      <c r="AL69" s="162"/>
      <c r="AM69" s="162"/>
      <c r="AN69" s="162"/>
      <c r="AO69" s="162"/>
      <c r="AP69" s="162"/>
      <c r="AQ69" s="162"/>
    </row>
    <row r="70" spans="2:43" x14ac:dyDescent="0.2">
      <c r="B70" s="190"/>
      <c r="C70" s="190"/>
      <c r="D70" s="190"/>
      <c r="E70" s="190"/>
      <c r="F70" s="190"/>
      <c r="G70" s="190"/>
      <c r="H70" s="190"/>
      <c r="I70" s="190"/>
      <c r="J70" s="190"/>
      <c r="K70" s="190"/>
      <c r="L70" s="190"/>
      <c r="M70" s="190"/>
      <c r="N70" s="190"/>
      <c r="O70" s="190"/>
      <c r="P70" s="190"/>
      <c r="Q70" s="190"/>
      <c r="R70" s="190"/>
      <c r="S70" s="190"/>
      <c r="T70" s="190"/>
      <c r="U70" s="190"/>
      <c r="AJ70" s="175"/>
    </row>
    <row r="71" spans="2:43" ht="80.099999999999994" customHeight="1" x14ac:dyDescent="0.2">
      <c r="B71" s="220" t="s">
        <v>270</v>
      </c>
      <c r="C71" s="221"/>
      <c r="D71" s="221"/>
      <c r="E71" s="221"/>
      <c r="F71" s="221"/>
      <c r="G71" s="221"/>
      <c r="H71" s="221"/>
      <c r="I71" s="221"/>
      <c r="J71" s="221"/>
      <c r="K71" s="221"/>
      <c r="L71" s="221"/>
      <c r="M71" s="221"/>
      <c r="N71" s="221"/>
      <c r="O71" s="221"/>
      <c r="P71" s="221"/>
      <c r="Q71" s="221"/>
      <c r="R71" s="221"/>
      <c r="S71" s="221"/>
      <c r="T71" s="221"/>
      <c r="U71" s="222"/>
      <c r="AJ71" s="175"/>
    </row>
    <row r="72" spans="2:43" x14ac:dyDescent="0.2">
      <c r="B72" s="190"/>
      <c r="C72" s="190"/>
      <c r="D72" s="190"/>
      <c r="E72" s="190"/>
      <c r="F72" s="190"/>
      <c r="G72" s="190"/>
      <c r="H72" s="190"/>
      <c r="I72" s="190"/>
      <c r="J72" s="190"/>
      <c r="K72" s="190"/>
      <c r="L72" s="190"/>
      <c r="M72" s="190"/>
      <c r="N72" s="190"/>
      <c r="O72" s="190"/>
      <c r="P72" s="190"/>
      <c r="Q72" s="190"/>
      <c r="R72" s="190"/>
      <c r="S72" s="190"/>
      <c r="T72" s="190"/>
      <c r="U72" s="190"/>
      <c r="AJ72" s="175"/>
    </row>
    <row r="73" spans="2:43" ht="16.5" customHeight="1" x14ac:dyDescent="0.2">
      <c r="B73" s="192" t="s">
        <v>249</v>
      </c>
      <c r="C73" s="193"/>
      <c r="D73" s="193"/>
      <c r="E73" s="193"/>
      <c r="F73" s="193"/>
      <c r="G73" s="194"/>
      <c r="H73" s="195"/>
      <c r="I73" s="192" t="s">
        <v>250</v>
      </c>
      <c r="J73" s="193"/>
      <c r="K73" s="193"/>
      <c r="L73" s="193"/>
      <c r="M73" s="193"/>
      <c r="N73" s="194"/>
      <c r="O73" s="190"/>
      <c r="P73" s="192" t="s">
        <v>251</v>
      </c>
      <c r="Q73" s="193"/>
      <c r="R73" s="193"/>
      <c r="S73" s="193"/>
      <c r="T73" s="193"/>
      <c r="U73" s="194"/>
    </row>
    <row r="74" spans="2:43" x14ac:dyDescent="0.2">
      <c r="B74" s="223" t="s">
        <v>271</v>
      </c>
      <c r="C74" s="197"/>
      <c r="D74" s="197"/>
      <c r="E74" s="197"/>
      <c r="F74" s="197"/>
      <c r="G74" s="198"/>
      <c r="H74" s="195"/>
      <c r="I74" s="224" t="s">
        <v>272</v>
      </c>
      <c r="J74" s="225"/>
      <c r="K74" s="225"/>
      <c r="L74" s="225"/>
      <c r="M74" s="225"/>
      <c r="N74" s="226"/>
      <c r="O74" s="190"/>
      <c r="P74" s="224" t="s">
        <v>273</v>
      </c>
      <c r="Q74" s="225"/>
      <c r="R74" s="225"/>
      <c r="S74" s="225"/>
      <c r="T74" s="225"/>
      <c r="U74" s="226"/>
    </row>
    <row r="75" spans="2:43" x14ac:dyDescent="0.2">
      <c r="B75" s="199"/>
      <c r="C75" s="200"/>
      <c r="D75" s="200"/>
      <c r="E75" s="200"/>
      <c r="F75" s="200"/>
      <c r="G75" s="201"/>
      <c r="H75" s="195"/>
      <c r="I75" s="224"/>
      <c r="J75" s="225"/>
      <c r="K75" s="225"/>
      <c r="L75" s="225"/>
      <c r="M75" s="225"/>
      <c r="N75" s="226"/>
      <c r="O75" s="190"/>
      <c r="P75" s="224"/>
      <c r="Q75" s="225"/>
      <c r="R75" s="225"/>
      <c r="S75" s="225"/>
      <c r="T75" s="225"/>
      <c r="U75" s="226"/>
    </row>
    <row r="76" spans="2:43" x14ac:dyDescent="0.2">
      <c r="B76" s="199"/>
      <c r="C76" s="200"/>
      <c r="D76" s="200"/>
      <c r="E76" s="200"/>
      <c r="F76" s="200"/>
      <c r="G76" s="201"/>
      <c r="H76" s="195"/>
      <c r="I76" s="224"/>
      <c r="J76" s="225"/>
      <c r="K76" s="225"/>
      <c r="L76" s="225"/>
      <c r="M76" s="225"/>
      <c r="N76" s="226"/>
      <c r="O76" s="190"/>
      <c r="P76" s="224"/>
      <c r="Q76" s="225"/>
      <c r="R76" s="225"/>
      <c r="S76" s="225"/>
      <c r="T76" s="225"/>
      <c r="U76" s="226"/>
    </row>
    <row r="77" spans="2:43" x14ac:dyDescent="0.2">
      <c r="B77" s="199"/>
      <c r="C77" s="200"/>
      <c r="D77" s="200"/>
      <c r="E77" s="200"/>
      <c r="F77" s="200"/>
      <c r="G77" s="201"/>
      <c r="H77" s="195"/>
      <c r="I77" s="224"/>
      <c r="J77" s="225"/>
      <c r="K77" s="225"/>
      <c r="L77" s="225"/>
      <c r="M77" s="225"/>
      <c r="N77" s="226"/>
      <c r="O77" s="190"/>
      <c r="P77" s="224"/>
      <c r="Q77" s="225"/>
      <c r="R77" s="225"/>
      <c r="S77" s="225"/>
      <c r="T77" s="225"/>
      <c r="U77" s="226"/>
    </row>
    <row r="78" spans="2:43" x14ac:dyDescent="0.2">
      <c r="B78" s="227"/>
      <c r="C78" s="228"/>
      <c r="D78" s="228"/>
      <c r="E78" s="228"/>
      <c r="F78" s="228"/>
      <c r="G78" s="229"/>
      <c r="H78" s="195"/>
      <c r="I78" s="230"/>
      <c r="J78" s="231"/>
      <c r="K78" s="231"/>
      <c r="L78" s="231"/>
      <c r="M78" s="231"/>
      <c r="N78" s="232"/>
      <c r="O78" s="190"/>
      <c r="P78" s="230"/>
      <c r="Q78" s="231"/>
      <c r="R78" s="231"/>
      <c r="S78" s="231"/>
      <c r="T78" s="231"/>
      <c r="U78" s="232"/>
    </row>
  </sheetData>
  <sheetProtection sheet="1" objects="1" scenarios="1" selectLockedCells="1"/>
  <mergeCells count="68">
    <mergeCell ref="C12:M18"/>
    <mergeCell ref="AE4:AH5"/>
    <mergeCell ref="AJ5:AM5"/>
    <mergeCell ref="AT11:AW11"/>
    <mergeCell ref="AT13:AW13"/>
    <mergeCell ref="AT15:AW15"/>
    <mergeCell ref="AT17:AW17"/>
    <mergeCell ref="AE6:AH7"/>
    <mergeCell ref="AE9:AH10"/>
    <mergeCell ref="AE12:AH13"/>
    <mergeCell ref="AE15:AH16"/>
    <mergeCell ref="AE18:AH19"/>
    <mergeCell ref="C6:M9"/>
    <mergeCell ref="C19:M19"/>
    <mergeCell ref="AE8:AH8"/>
    <mergeCell ref="AE14:AH14"/>
    <mergeCell ref="AT19:AW19"/>
    <mergeCell ref="AT12:AW12"/>
    <mergeCell ref="AT16:AW16"/>
    <mergeCell ref="AJ6:AM6"/>
    <mergeCell ref="AJ8:AM8"/>
    <mergeCell ref="AJ10:AM10"/>
    <mergeCell ref="AJ12:AM12"/>
    <mergeCell ref="AJ14:AM14"/>
    <mergeCell ref="AJ16:AM16"/>
    <mergeCell ref="AD58:AF66"/>
    <mergeCell ref="AG58:AI66"/>
    <mergeCell ref="B69:U69"/>
    <mergeCell ref="B73:G73"/>
    <mergeCell ref="H73:H78"/>
    <mergeCell ref="I73:N73"/>
    <mergeCell ref="P73:U73"/>
    <mergeCell ref="B74:G78"/>
    <mergeCell ref="I74:N78"/>
    <mergeCell ref="P74:U78"/>
    <mergeCell ref="B71:U71"/>
    <mergeCell ref="AD31:AI31"/>
    <mergeCell ref="B29:AI29"/>
    <mergeCell ref="P57:R57"/>
    <mergeCell ref="W57:Y57"/>
    <mergeCell ref="Z57:AB57"/>
    <mergeCell ref="AD57:AF57"/>
    <mergeCell ref="AG57:AI57"/>
    <mergeCell ref="O31:O66"/>
    <mergeCell ref="P31:U31"/>
    <mergeCell ref="V31:V66"/>
    <mergeCell ref="W31:AB31"/>
    <mergeCell ref="AC31:AC66"/>
    <mergeCell ref="P58:R66"/>
    <mergeCell ref="S58:U66"/>
    <mergeCell ref="W58:Y66"/>
    <mergeCell ref="Z58:AB66"/>
    <mergeCell ref="AE21:AH22"/>
    <mergeCell ref="B32:G35"/>
    <mergeCell ref="B36:G66"/>
    <mergeCell ref="I32:N35"/>
    <mergeCell ref="I36:N66"/>
    <mergeCell ref="P32:U35"/>
    <mergeCell ref="P36:U56"/>
    <mergeCell ref="S57:U57"/>
    <mergeCell ref="W32:AB35"/>
    <mergeCell ref="W36:AB56"/>
    <mergeCell ref="AD32:AI35"/>
    <mergeCell ref="AD36:AI55"/>
    <mergeCell ref="B27:AI27"/>
    <mergeCell ref="B31:G31"/>
    <mergeCell ref="H31:H66"/>
    <mergeCell ref="I31:N3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FDB1F-BB18-479B-921E-79AD69E47A74}">
  <sheetPr codeName="Tabelle3">
    <tabColor theme="6"/>
  </sheetPr>
  <dimension ref="B1:M25"/>
  <sheetViews>
    <sheetView topLeftCell="C1" zoomScaleNormal="100" workbookViewId="0">
      <selection activeCell="J22" sqref="J22"/>
    </sheetView>
  </sheetViews>
  <sheetFormatPr baseColWidth="10" defaultColWidth="11.25" defaultRowHeight="14.25" x14ac:dyDescent="0.2"/>
  <cols>
    <col min="1" max="1" width="1.875" style="33" customWidth="1"/>
    <col min="2" max="2" width="6.25" style="33" customWidth="1"/>
    <col min="3" max="3" width="36.625" style="33" customWidth="1"/>
    <col min="4" max="4" width="11.25" style="33"/>
    <col min="5" max="5" width="6.25" style="33" customWidth="1"/>
    <col min="6" max="6" width="38.375" style="33" customWidth="1"/>
    <col min="7" max="7" width="16.875" style="33" customWidth="1"/>
    <col min="8" max="8" width="6.75" style="33" customWidth="1"/>
    <col min="9" max="9" width="45.75" style="33" customWidth="1"/>
    <col min="10" max="10" width="11.25" style="33" customWidth="1"/>
    <col min="11" max="11" width="11.25" style="33"/>
    <col min="12" max="12" width="41" style="33" customWidth="1"/>
    <col min="13" max="16384" width="11.25" style="33"/>
  </cols>
  <sheetData>
    <row r="1" spans="2:13" ht="10.5" customHeight="1" x14ac:dyDescent="0.2"/>
    <row r="2" spans="2:13" s="1" customFormat="1" ht="23.45" customHeight="1" x14ac:dyDescent="0.2">
      <c r="C2" s="2" t="s">
        <v>0</v>
      </c>
    </row>
    <row r="4" spans="2:13" ht="14.25" customHeight="1" x14ac:dyDescent="0.2">
      <c r="C4" s="82" t="s">
        <v>300</v>
      </c>
      <c r="D4" s="82"/>
      <c r="E4" s="82"/>
      <c r="F4" s="82"/>
      <c r="G4" s="82"/>
      <c r="H4" s="82"/>
      <c r="I4" s="82"/>
      <c r="J4" s="82"/>
    </row>
    <row r="5" spans="2:13" x14ac:dyDescent="0.2">
      <c r="C5" s="82"/>
      <c r="D5" s="82"/>
      <c r="E5" s="82"/>
      <c r="F5" s="82"/>
      <c r="G5" s="82"/>
      <c r="H5" s="82"/>
      <c r="I5" s="82"/>
      <c r="J5" s="82"/>
    </row>
    <row r="6" spans="2:13" x14ac:dyDescent="0.2">
      <c r="C6" s="82"/>
      <c r="D6" s="82"/>
      <c r="E6" s="82"/>
      <c r="F6" s="82"/>
      <c r="G6" s="82"/>
      <c r="H6" s="82"/>
      <c r="I6" s="82"/>
      <c r="J6" s="82"/>
    </row>
    <row r="7" spans="2:13" ht="22.5" customHeight="1" x14ac:dyDescent="0.2"/>
    <row r="8" spans="2:13" ht="19.5" customHeight="1" x14ac:dyDescent="0.2">
      <c r="C8" s="83" t="s">
        <v>291</v>
      </c>
      <c r="D8" s="84"/>
      <c r="F8" s="80" t="s">
        <v>1</v>
      </c>
      <c r="G8" s="80"/>
      <c r="I8" s="80" t="s">
        <v>2</v>
      </c>
      <c r="J8" s="80"/>
      <c r="L8" s="20"/>
      <c r="M8" s="20"/>
    </row>
    <row r="9" spans="2:13" ht="30" customHeight="1" x14ac:dyDescent="0.2">
      <c r="C9" s="85"/>
      <c r="D9" s="86"/>
      <c r="F9" s="80"/>
      <c r="G9" s="80"/>
      <c r="I9" s="80"/>
      <c r="J9" s="80"/>
      <c r="L9" s="20"/>
      <c r="M9" s="20"/>
    </row>
    <row r="10" spans="2:13" ht="16.5" x14ac:dyDescent="0.2">
      <c r="B10" s="20"/>
      <c r="C10" s="233" t="s">
        <v>3</v>
      </c>
      <c r="D10" s="234">
        <v>2.1000000000000001E-2</v>
      </c>
      <c r="F10" s="237" t="s">
        <v>4</v>
      </c>
      <c r="G10" s="240">
        <f>Household_Size</f>
        <v>3.8</v>
      </c>
      <c r="I10" s="23" t="s">
        <v>5</v>
      </c>
      <c r="J10" s="242">
        <v>1146100</v>
      </c>
    </row>
    <row r="11" spans="2:13" x14ac:dyDescent="0.2">
      <c r="B11" s="20"/>
      <c r="C11" s="233" t="s">
        <v>6</v>
      </c>
      <c r="D11" s="235">
        <v>2023</v>
      </c>
      <c r="F11" s="237" t="s">
        <v>7</v>
      </c>
      <c r="G11" s="241">
        <v>0.6</v>
      </c>
      <c r="I11" s="23" t="s">
        <v>8</v>
      </c>
      <c r="J11" s="242">
        <v>130</v>
      </c>
    </row>
    <row r="12" spans="2:13" ht="16.5" x14ac:dyDescent="0.2">
      <c r="B12" s="20"/>
      <c r="C12" s="233" t="s">
        <v>9</v>
      </c>
      <c r="D12" s="236">
        <v>16125</v>
      </c>
      <c r="F12" s="237" t="s">
        <v>10</v>
      </c>
      <c r="G12" s="237">
        <f>G10*G11</f>
        <v>2.2799999999999998</v>
      </c>
      <c r="I12" s="23" t="s">
        <v>11</v>
      </c>
      <c r="J12" s="23">
        <f>J11/1000*365</f>
        <v>47.45</v>
      </c>
    </row>
    <row r="13" spans="2:13" ht="28.5" x14ac:dyDescent="0.2">
      <c r="B13" s="20"/>
      <c r="C13" s="233" t="s">
        <v>12</v>
      </c>
      <c r="D13" s="233">
        <v>3.8</v>
      </c>
      <c r="F13" s="237" t="s">
        <v>13</v>
      </c>
      <c r="G13" s="237">
        <f>G11*(G10-1)</f>
        <v>1.68</v>
      </c>
      <c r="I13" s="23" t="s">
        <v>14</v>
      </c>
      <c r="J13" s="242">
        <v>766500</v>
      </c>
    </row>
    <row r="14" spans="2:13" ht="35.25" customHeight="1" x14ac:dyDescent="0.2">
      <c r="C14" s="20"/>
      <c r="D14" s="20"/>
      <c r="F14" s="237" t="s">
        <v>238</v>
      </c>
      <c r="G14" s="238">
        <v>2025</v>
      </c>
      <c r="I14" s="23" t="s">
        <v>16</v>
      </c>
      <c r="J14" s="242">
        <v>379600</v>
      </c>
    </row>
    <row r="15" spans="2:13" ht="29.25" customHeight="1" x14ac:dyDescent="0.2">
      <c r="C15" s="20"/>
      <c r="D15" s="20"/>
      <c r="F15" s="237" t="s">
        <v>17</v>
      </c>
      <c r="G15" s="239">
        <v>17000</v>
      </c>
      <c r="I15" s="23" t="s">
        <v>18</v>
      </c>
      <c r="J15" s="241">
        <v>0.08</v>
      </c>
    </row>
    <row r="16" spans="2:13" ht="27" customHeight="1" x14ac:dyDescent="0.2">
      <c r="C16" s="20"/>
      <c r="D16" s="20"/>
      <c r="I16" s="23" t="s">
        <v>19</v>
      </c>
      <c r="J16" s="243">
        <v>4.0000000000000001E-3</v>
      </c>
    </row>
    <row r="17" spans="9:10" x14ac:dyDescent="0.2">
      <c r="J17" s="20"/>
    </row>
    <row r="20" spans="9:10" ht="14.25" customHeight="1" x14ac:dyDescent="0.2">
      <c r="I20" s="80" t="s">
        <v>20</v>
      </c>
      <c r="J20" s="80"/>
    </row>
    <row r="21" spans="9:10" ht="14.25" customHeight="1" x14ac:dyDescent="0.2">
      <c r="I21" s="80"/>
      <c r="J21" s="80"/>
    </row>
    <row r="22" spans="9:10" ht="16.5" x14ac:dyDescent="0.2">
      <c r="I22" s="23" t="s">
        <v>21</v>
      </c>
      <c r="J22" s="244">
        <v>1460000</v>
      </c>
    </row>
    <row r="23" spans="9:10" x14ac:dyDescent="0.2">
      <c r="I23" s="23" t="s">
        <v>22</v>
      </c>
      <c r="J23" s="245"/>
    </row>
    <row r="24" spans="9:10" x14ac:dyDescent="0.2">
      <c r="I24" s="23" t="s">
        <v>23</v>
      </c>
      <c r="J24" s="246"/>
    </row>
    <row r="25" spans="9:10" x14ac:dyDescent="0.2">
      <c r="J25" s="20"/>
    </row>
  </sheetData>
  <sheetProtection sheet="1" objects="1" scenarios="1" selectLockedCells="1"/>
  <mergeCells count="5">
    <mergeCell ref="C4:J6"/>
    <mergeCell ref="I20:J21"/>
    <mergeCell ref="C8:D9"/>
    <mergeCell ref="F8:G9"/>
    <mergeCell ref="I8:J9"/>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31184-F2E4-446F-9572-92C8B14FC22B}">
  <sheetPr codeName="Tabelle4">
    <tabColor theme="6"/>
  </sheetPr>
  <dimension ref="B1:U62"/>
  <sheetViews>
    <sheetView zoomScale="80" zoomScaleNormal="80" workbookViewId="0">
      <selection activeCell="F15" sqref="F15"/>
    </sheetView>
  </sheetViews>
  <sheetFormatPr baseColWidth="10" defaultColWidth="11.25" defaultRowHeight="14.25" x14ac:dyDescent="0.2"/>
  <cols>
    <col min="1" max="1" width="3.125" style="33" customWidth="1"/>
    <col min="2" max="2" width="35.75" style="33" customWidth="1"/>
    <col min="3" max="5" width="11.25" style="33"/>
    <col min="6" max="6" width="13.125" style="33" customWidth="1"/>
    <col min="7" max="7" width="11.25" style="33"/>
    <col min="8" max="8" width="35.75" style="33" customWidth="1"/>
    <col min="9" max="10" width="11.25" style="33"/>
    <col min="11" max="11" width="35.75" style="33" customWidth="1"/>
    <col min="12" max="17" width="11.25" style="33"/>
    <col min="18" max="18" width="12.625" style="33" customWidth="1"/>
    <col min="19" max="19" width="14.125" style="33" customWidth="1"/>
    <col min="20" max="16384" width="11.25" style="33"/>
  </cols>
  <sheetData>
    <row r="1" spans="2:21" ht="10.5" customHeight="1" x14ac:dyDescent="0.2"/>
    <row r="2" spans="2:21" s="1" customFormat="1" ht="23.45" customHeight="1" x14ac:dyDescent="0.2">
      <c r="B2" s="2" t="s">
        <v>24</v>
      </c>
    </row>
    <row r="4" spans="2:21" x14ac:dyDescent="0.2">
      <c r="B4" s="82" t="s">
        <v>301</v>
      </c>
      <c r="C4" s="87"/>
      <c r="D4" s="87"/>
      <c r="E4" s="87"/>
      <c r="F4" s="87"/>
      <c r="G4" s="87"/>
      <c r="H4" s="87"/>
      <c r="I4" s="87"/>
      <c r="J4" s="87"/>
      <c r="K4" s="87"/>
      <c r="L4" s="87"/>
      <c r="M4" s="87"/>
      <c r="N4" s="87"/>
      <c r="O4" s="87"/>
      <c r="P4" s="87"/>
      <c r="Q4" s="87"/>
      <c r="R4" s="87"/>
      <c r="S4" s="87"/>
    </row>
    <row r="5" spans="2:21" x14ac:dyDescent="0.2">
      <c r="B5" s="87"/>
      <c r="C5" s="87"/>
      <c r="D5" s="87"/>
      <c r="E5" s="87"/>
      <c r="F5" s="87"/>
      <c r="G5" s="87"/>
      <c r="H5" s="87"/>
      <c r="I5" s="87"/>
      <c r="J5" s="87"/>
      <c r="K5" s="87"/>
      <c r="L5" s="87"/>
      <c r="M5" s="87"/>
      <c r="N5" s="87"/>
      <c r="O5" s="87"/>
      <c r="P5" s="87"/>
      <c r="Q5" s="87"/>
      <c r="R5" s="87"/>
      <c r="S5" s="87"/>
    </row>
    <row r="7" spans="2:21" ht="16.5" x14ac:dyDescent="0.25">
      <c r="B7" s="88" t="s">
        <v>25</v>
      </c>
      <c r="C7" s="88"/>
      <c r="D7" s="88"/>
      <c r="E7" s="88"/>
      <c r="F7" s="88"/>
      <c r="H7" s="88" t="s">
        <v>26</v>
      </c>
      <c r="I7" s="88"/>
      <c r="K7" s="89" t="s">
        <v>27</v>
      </c>
      <c r="L7" s="90"/>
      <c r="M7" s="90"/>
      <c r="N7" s="90"/>
      <c r="O7" s="90"/>
      <c r="P7" s="90"/>
      <c r="Q7" s="90"/>
      <c r="R7" s="90"/>
      <c r="S7" s="91"/>
    </row>
    <row r="8" spans="2:21" ht="15" x14ac:dyDescent="0.25">
      <c r="B8" s="38"/>
      <c r="H8" s="38"/>
      <c r="K8" s="38"/>
    </row>
    <row r="9" spans="2:21" ht="14.25" customHeight="1" x14ac:dyDescent="0.2">
      <c r="B9" s="98" t="s">
        <v>28</v>
      </c>
      <c r="C9" s="98"/>
      <c r="D9" s="98"/>
      <c r="E9" s="98"/>
      <c r="F9" s="98"/>
      <c r="H9" s="98" t="s">
        <v>29</v>
      </c>
      <c r="I9" s="98"/>
      <c r="K9" s="92" t="s">
        <v>30</v>
      </c>
      <c r="L9" s="96"/>
      <c r="M9" s="96"/>
      <c r="N9" s="96"/>
      <c r="O9" s="96"/>
      <c r="P9" s="96"/>
      <c r="Q9" s="96"/>
      <c r="R9" s="96"/>
      <c r="S9" s="93"/>
    </row>
    <row r="10" spans="2:21" ht="14.25" customHeight="1" x14ac:dyDescent="0.2">
      <c r="B10" s="98"/>
      <c r="C10" s="98"/>
      <c r="D10" s="98"/>
      <c r="E10" s="98"/>
      <c r="F10" s="98"/>
      <c r="H10" s="98"/>
      <c r="I10" s="98"/>
      <c r="K10" s="94"/>
      <c r="L10" s="97"/>
      <c r="M10" s="97"/>
      <c r="N10" s="97"/>
      <c r="O10" s="97"/>
      <c r="P10" s="97"/>
      <c r="Q10" s="97"/>
      <c r="R10" s="97"/>
      <c r="S10" s="95"/>
    </row>
    <row r="11" spans="2:21" ht="49.5" x14ac:dyDescent="0.2">
      <c r="B11" s="54" t="s">
        <v>31</v>
      </c>
      <c r="C11" s="34">
        <v>35000</v>
      </c>
      <c r="D11" s="37"/>
      <c r="E11" s="37"/>
      <c r="F11" s="37"/>
      <c r="H11" s="54" t="s">
        <v>32</v>
      </c>
      <c r="I11" s="247">
        <v>2030</v>
      </c>
      <c r="K11" s="35" t="s">
        <v>33</v>
      </c>
      <c r="L11" s="35" t="s">
        <v>34</v>
      </c>
      <c r="M11" s="35" t="s">
        <v>35</v>
      </c>
      <c r="N11" s="35" t="s">
        <v>36</v>
      </c>
      <c r="O11" s="35" t="s">
        <v>37</v>
      </c>
      <c r="P11" s="35" t="s">
        <v>38</v>
      </c>
      <c r="Q11" s="35" t="s">
        <v>39</v>
      </c>
      <c r="R11" s="35" t="s">
        <v>40</v>
      </c>
      <c r="S11" s="35" t="s">
        <v>41</v>
      </c>
      <c r="T11" s="20"/>
      <c r="U11" s="20"/>
    </row>
    <row r="12" spans="2:21" x14ac:dyDescent="0.2">
      <c r="B12" s="54" t="s">
        <v>32</v>
      </c>
      <c r="C12" s="247">
        <v>2026</v>
      </c>
      <c r="D12" s="37"/>
      <c r="E12" s="37"/>
      <c r="F12" s="37"/>
      <c r="H12" s="54" t="s">
        <v>42</v>
      </c>
      <c r="I12" s="249">
        <v>7000</v>
      </c>
      <c r="K12" s="54" t="s">
        <v>43</v>
      </c>
      <c r="L12" s="247">
        <v>2027</v>
      </c>
      <c r="M12" s="249">
        <v>15000</v>
      </c>
      <c r="N12" s="249">
        <v>1000</v>
      </c>
      <c r="O12" s="34">
        <f>M12-N12</f>
        <v>14000</v>
      </c>
      <c r="P12" s="249">
        <v>4000</v>
      </c>
      <c r="Q12" s="34">
        <f>P12*365</f>
        <v>1460000</v>
      </c>
      <c r="R12" s="249">
        <v>1825000</v>
      </c>
      <c r="S12" s="249">
        <v>2920000</v>
      </c>
      <c r="T12" s="20"/>
      <c r="U12" s="20"/>
    </row>
    <row r="13" spans="2:21" x14ac:dyDescent="0.2">
      <c r="B13" s="55" t="s">
        <v>44</v>
      </c>
      <c r="C13" s="248">
        <v>2.5</v>
      </c>
      <c r="D13" s="37"/>
      <c r="E13" s="37"/>
      <c r="F13" s="37"/>
      <c r="H13" s="54" t="s">
        <v>45</v>
      </c>
      <c r="I13" s="247"/>
      <c r="K13" s="54" t="s">
        <v>46</v>
      </c>
      <c r="L13" s="247">
        <v>2031</v>
      </c>
      <c r="M13" s="249">
        <v>15000</v>
      </c>
      <c r="N13" s="249">
        <v>1000</v>
      </c>
      <c r="O13" s="34">
        <f>M13-N13</f>
        <v>14000</v>
      </c>
      <c r="P13" s="249">
        <v>29000</v>
      </c>
      <c r="Q13" s="34">
        <f t="shared" ref="Q13" si="0">P13*365</f>
        <v>10585000</v>
      </c>
      <c r="R13" s="249">
        <v>10400000</v>
      </c>
      <c r="S13" s="249">
        <v>18250000</v>
      </c>
    </row>
    <row r="14" spans="2:21" ht="36.6" customHeight="1" x14ac:dyDescent="0.2">
      <c r="B14" s="35" t="s">
        <v>33</v>
      </c>
      <c r="C14" s="35" t="s">
        <v>34</v>
      </c>
      <c r="D14" s="35" t="s">
        <v>47</v>
      </c>
      <c r="E14" s="35" t="s">
        <v>48</v>
      </c>
      <c r="F14" s="35" t="s">
        <v>39</v>
      </c>
      <c r="K14" s="54" t="s">
        <v>49</v>
      </c>
      <c r="L14" s="247">
        <v>2034</v>
      </c>
      <c r="M14" s="249">
        <v>3000</v>
      </c>
      <c r="N14" s="249">
        <v>3000</v>
      </c>
      <c r="O14" s="34">
        <f>M14-N14</f>
        <v>0</v>
      </c>
      <c r="P14" s="249">
        <v>50000</v>
      </c>
      <c r="Q14" s="34">
        <f>P14*365</f>
        <v>18250000</v>
      </c>
    </row>
    <row r="15" spans="2:21" ht="14.25" customHeight="1" x14ac:dyDescent="0.2">
      <c r="B15" s="54" t="s">
        <v>50</v>
      </c>
      <c r="C15" s="36">
        <f>C12</f>
        <v>2026</v>
      </c>
      <c r="D15" s="249">
        <v>200</v>
      </c>
      <c r="E15" s="34">
        <f>D15*$C$13</f>
        <v>500</v>
      </c>
      <c r="F15" s="249">
        <v>109500</v>
      </c>
      <c r="H15" s="98" t="s">
        <v>51</v>
      </c>
      <c r="I15" s="98"/>
    </row>
    <row r="16" spans="2:21" ht="14.25" customHeight="1" x14ac:dyDescent="0.2">
      <c r="B16" s="54" t="s">
        <v>52</v>
      </c>
      <c r="C16" s="247">
        <v>2031</v>
      </c>
      <c r="D16" s="249">
        <v>400</v>
      </c>
      <c r="E16" s="34">
        <f t="shared" ref="E16:E17" si="1">D16*$C$13</f>
        <v>1000</v>
      </c>
      <c r="F16" s="249">
        <v>219000</v>
      </c>
      <c r="H16" s="98"/>
      <c r="I16" s="98"/>
    </row>
    <row r="17" spans="2:18" ht="14.25" customHeight="1" x14ac:dyDescent="0.2">
      <c r="B17" s="54" t="s">
        <v>53</v>
      </c>
      <c r="C17" s="247">
        <v>2034</v>
      </c>
      <c r="D17" s="249">
        <v>600</v>
      </c>
      <c r="E17" s="34">
        <f t="shared" si="1"/>
        <v>1500</v>
      </c>
      <c r="F17" s="249">
        <v>328500</v>
      </c>
      <c r="H17" s="54" t="s">
        <v>32</v>
      </c>
      <c r="I17" s="247"/>
      <c r="K17" s="92" t="s">
        <v>54</v>
      </c>
      <c r="L17" s="96"/>
      <c r="M17" s="96"/>
      <c r="N17" s="96"/>
      <c r="O17" s="96"/>
      <c r="P17" s="96"/>
      <c r="Q17" s="96"/>
      <c r="R17" s="93"/>
    </row>
    <row r="18" spans="2:18" ht="14.25" customHeight="1" x14ac:dyDescent="0.2">
      <c r="B18" s="37"/>
      <c r="C18" s="37"/>
      <c r="D18" s="37"/>
      <c r="E18" s="37"/>
      <c r="F18" s="37"/>
      <c r="H18" s="54" t="s">
        <v>42</v>
      </c>
      <c r="I18" s="247"/>
      <c r="K18" s="94"/>
      <c r="L18" s="97"/>
      <c r="M18" s="97"/>
      <c r="N18" s="97"/>
      <c r="O18" s="97"/>
      <c r="P18" s="97"/>
      <c r="Q18" s="97"/>
      <c r="R18" s="95"/>
    </row>
    <row r="19" spans="2:18" ht="38.25" x14ac:dyDescent="0.2">
      <c r="B19" s="37"/>
      <c r="C19" s="37"/>
      <c r="D19" s="37"/>
      <c r="E19" s="37"/>
      <c r="F19" s="37"/>
      <c r="H19" s="54" t="s">
        <v>45</v>
      </c>
      <c r="I19" s="247"/>
      <c r="K19" s="35" t="s">
        <v>33</v>
      </c>
      <c r="L19" s="35" t="s">
        <v>34</v>
      </c>
      <c r="M19" s="35" t="s">
        <v>35</v>
      </c>
      <c r="N19" s="35" t="s">
        <v>55</v>
      </c>
      <c r="O19" s="35" t="s">
        <v>56</v>
      </c>
      <c r="P19" s="35" t="s">
        <v>37</v>
      </c>
      <c r="Q19" s="35" t="s">
        <v>38</v>
      </c>
      <c r="R19" s="35" t="s">
        <v>39</v>
      </c>
    </row>
    <row r="20" spans="2:18" ht="14.25" customHeight="1" x14ac:dyDescent="0.2">
      <c r="B20" s="92" t="s">
        <v>57</v>
      </c>
      <c r="C20" s="96"/>
      <c r="D20" s="96"/>
      <c r="E20" s="96"/>
      <c r="F20" s="93"/>
      <c r="K20" s="54" t="s">
        <v>43</v>
      </c>
      <c r="L20" s="247">
        <v>2035</v>
      </c>
      <c r="M20" s="249">
        <v>15000</v>
      </c>
      <c r="N20" s="249">
        <v>15000</v>
      </c>
      <c r="O20" s="34">
        <f t="shared" ref="O20:O21" si="2">M20-N20</f>
        <v>0</v>
      </c>
      <c r="P20" s="34">
        <f t="shared" ref="P20:P21" si="3">M20-(N20+O20)</f>
        <v>0</v>
      </c>
      <c r="Q20" s="249">
        <v>4000</v>
      </c>
      <c r="R20" s="34">
        <f>Q20*365</f>
        <v>1460000</v>
      </c>
    </row>
    <row r="21" spans="2:18" ht="14.25" customHeight="1" x14ac:dyDescent="0.2">
      <c r="B21" s="94"/>
      <c r="C21" s="97"/>
      <c r="D21" s="97"/>
      <c r="E21" s="97"/>
      <c r="F21" s="95"/>
      <c r="H21" s="98" t="s">
        <v>58</v>
      </c>
      <c r="I21" s="98"/>
      <c r="K21" s="54" t="s">
        <v>46</v>
      </c>
      <c r="L21" s="247">
        <v>2039</v>
      </c>
      <c r="M21" s="249">
        <v>15000</v>
      </c>
      <c r="N21" s="249">
        <v>15000</v>
      </c>
      <c r="O21" s="34">
        <f t="shared" si="2"/>
        <v>0</v>
      </c>
      <c r="P21" s="34">
        <f t="shared" si="3"/>
        <v>0</v>
      </c>
      <c r="Q21" s="249">
        <v>29000</v>
      </c>
      <c r="R21" s="34">
        <f t="shared" ref="R21:R22" si="4">Q21*365</f>
        <v>10585000</v>
      </c>
    </row>
    <row r="22" spans="2:18" ht="14.25" customHeight="1" x14ac:dyDescent="0.2">
      <c r="B22" s="54" t="s">
        <v>31</v>
      </c>
      <c r="C22" s="34">
        <v>51000</v>
      </c>
      <c r="D22" s="37"/>
      <c r="E22" s="37"/>
      <c r="F22" s="37"/>
      <c r="H22" s="98"/>
      <c r="I22" s="98"/>
      <c r="K22" s="54" t="s">
        <v>49</v>
      </c>
      <c r="L22" s="247">
        <v>2042</v>
      </c>
      <c r="M22" s="249">
        <v>3000</v>
      </c>
      <c r="N22" s="249">
        <v>0</v>
      </c>
      <c r="O22" s="34">
        <f>M22-N22</f>
        <v>3000</v>
      </c>
      <c r="P22" s="34">
        <f>M22-(N22+O22)</f>
        <v>0</v>
      </c>
      <c r="Q22" s="249">
        <v>50000</v>
      </c>
      <c r="R22" s="34">
        <f t="shared" si="4"/>
        <v>18250000</v>
      </c>
    </row>
    <row r="23" spans="2:18" x14ac:dyDescent="0.2">
      <c r="B23" s="54" t="s">
        <v>32</v>
      </c>
      <c r="C23" s="247">
        <v>2026</v>
      </c>
      <c r="D23" s="37"/>
      <c r="E23" s="37"/>
      <c r="F23" s="37"/>
      <c r="H23" s="54" t="s">
        <v>32</v>
      </c>
      <c r="I23" s="247"/>
    </row>
    <row r="24" spans="2:18" x14ac:dyDescent="0.2">
      <c r="B24" s="55" t="s">
        <v>44</v>
      </c>
      <c r="C24" s="248">
        <v>2.5</v>
      </c>
      <c r="D24" s="37"/>
      <c r="E24" s="37"/>
      <c r="F24" s="37"/>
      <c r="H24" s="54" t="s">
        <v>42</v>
      </c>
      <c r="I24" s="247"/>
    </row>
    <row r="25" spans="2:18" ht="36.75" x14ac:dyDescent="0.2">
      <c r="B25" s="35" t="s">
        <v>33</v>
      </c>
      <c r="C25" s="35" t="s">
        <v>34</v>
      </c>
      <c r="D25" s="35" t="s">
        <v>47</v>
      </c>
      <c r="E25" s="35" t="s">
        <v>48</v>
      </c>
      <c r="F25" s="35" t="s">
        <v>59</v>
      </c>
      <c r="H25" s="54" t="s">
        <v>45</v>
      </c>
      <c r="I25" s="247"/>
    </row>
    <row r="26" spans="2:18" x14ac:dyDescent="0.2">
      <c r="B26" s="54" t="s">
        <v>50</v>
      </c>
      <c r="C26" s="36">
        <f>C23</f>
        <v>2026</v>
      </c>
      <c r="D26" s="249">
        <f>($C$22/$C$11)*D15</f>
        <v>291.42857142857139</v>
      </c>
      <c r="E26" s="34">
        <f>D26*$C$24</f>
        <v>728.57142857142844</v>
      </c>
      <c r="F26" s="249">
        <f>($C$22/$C$11)*F15</f>
        <v>159557.14285714284</v>
      </c>
    </row>
    <row r="27" spans="2:18" ht="14.25" customHeight="1" x14ac:dyDescent="0.2">
      <c r="B27" s="54" t="s">
        <v>52</v>
      </c>
      <c r="C27" s="247">
        <v>2031</v>
      </c>
      <c r="D27" s="249">
        <f>($C$22/$C$11)*D16</f>
        <v>582.85714285714278</v>
      </c>
      <c r="E27" s="34">
        <f t="shared" ref="E27:E28" si="5">D27*$C$24</f>
        <v>1457.1428571428569</v>
      </c>
      <c r="F27" s="249">
        <f>($C$22/$C$11)*F16</f>
        <v>319114.28571428568</v>
      </c>
      <c r="H27" s="98" t="s">
        <v>60</v>
      </c>
      <c r="I27" s="98"/>
    </row>
    <row r="28" spans="2:18" ht="14.25" customHeight="1" x14ac:dyDescent="0.2">
      <c r="B28" s="54" t="s">
        <v>53</v>
      </c>
      <c r="C28" s="247">
        <v>2034</v>
      </c>
      <c r="D28" s="249">
        <f>($C$22/$C$11)*D17</f>
        <v>874.28571428571422</v>
      </c>
      <c r="E28" s="34">
        <f t="shared" si="5"/>
        <v>2185.7142857142853</v>
      </c>
      <c r="F28" s="249">
        <f>($C$22/$C$11)*F17</f>
        <v>478671.42857142852</v>
      </c>
      <c r="H28" s="98"/>
      <c r="I28" s="98"/>
    </row>
    <row r="29" spans="2:18" x14ac:dyDescent="0.2">
      <c r="H29" s="54" t="s">
        <v>32</v>
      </c>
      <c r="I29" s="247"/>
    </row>
    <row r="30" spans="2:18" ht="14.25" customHeight="1" x14ac:dyDescent="0.2">
      <c r="B30" s="92" t="s">
        <v>61</v>
      </c>
      <c r="C30" s="93"/>
      <c r="H30" s="54" t="s">
        <v>42</v>
      </c>
      <c r="I30" s="247"/>
    </row>
    <row r="31" spans="2:18" ht="14.25" customHeight="1" x14ac:dyDescent="0.2">
      <c r="B31" s="94"/>
      <c r="C31" s="95"/>
      <c r="H31" s="54" t="s">
        <v>45</v>
      </c>
      <c r="I31" s="247"/>
    </row>
    <row r="32" spans="2:18" x14ac:dyDescent="0.2">
      <c r="B32" s="54" t="s">
        <v>62</v>
      </c>
      <c r="C32" s="247">
        <v>2027</v>
      </c>
    </row>
    <row r="33" spans="2:3" ht="14.1" customHeight="1" x14ac:dyDescent="0.2">
      <c r="B33" s="54" t="s">
        <v>42</v>
      </c>
      <c r="C33" s="247">
        <v>310</v>
      </c>
    </row>
    <row r="34" spans="2:3" ht="14.1" customHeight="1" x14ac:dyDescent="0.2">
      <c r="B34" s="54" t="s">
        <v>45</v>
      </c>
      <c r="C34" s="247">
        <v>0</v>
      </c>
    </row>
    <row r="36" spans="2:3" ht="14.25" customHeight="1" x14ac:dyDescent="0.2">
      <c r="B36" s="92" t="s">
        <v>63</v>
      </c>
      <c r="C36" s="93"/>
    </row>
    <row r="37" spans="2:3" ht="14.25" customHeight="1" x14ac:dyDescent="0.2">
      <c r="B37" s="94"/>
      <c r="C37" s="95"/>
    </row>
    <row r="38" spans="2:3" x14ac:dyDescent="0.2">
      <c r="B38" s="54" t="s">
        <v>62</v>
      </c>
      <c r="C38" s="247">
        <v>2030</v>
      </c>
    </row>
    <row r="39" spans="2:3" x14ac:dyDescent="0.2">
      <c r="B39" s="54" t="s">
        <v>42</v>
      </c>
      <c r="C39" s="247">
        <v>50</v>
      </c>
    </row>
    <row r="40" spans="2:3" ht="27" x14ac:dyDescent="0.2">
      <c r="B40" s="54" t="s">
        <v>64</v>
      </c>
      <c r="C40" s="247">
        <f>120-43</f>
        <v>77</v>
      </c>
    </row>
    <row r="41" spans="2:3" ht="27" x14ac:dyDescent="0.2">
      <c r="B41" s="54" t="s">
        <v>65</v>
      </c>
      <c r="C41" s="34">
        <f>C40*365</f>
        <v>28105</v>
      </c>
    </row>
    <row r="43" spans="2:3" ht="14.25" customHeight="1" x14ac:dyDescent="0.2">
      <c r="B43" s="92" t="s">
        <v>66</v>
      </c>
      <c r="C43" s="93"/>
    </row>
    <row r="44" spans="2:3" ht="14.25" customHeight="1" x14ac:dyDescent="0.2">
      <c r="B44" s="94"/>
      <c r="C44" s="95"/>
    </row>
    <row r="45" spans="2:3" x14ac:dyDescent="0.2">
      <c r="B45" s="54" t="s">
        <v>32</v>
      </c>
      <c r="C45" s="247">
        <v>2026</v>
      </c>
    </row>
    <row r="46" spans="2:3" x14ac:dyDescent="0.2">
      <c r="B46" s="54" t="s">
        <v>67</v>
      </c>
      <c r="C46" s="247">
        <v>0</v>
      </c>
    </row>
    <row r="47" spans="2:3" x14ac:dyDescent="0.2">
      <c r="B47" s="54" t="s">
        <v>68</v>
      </c>
      <c r="C47" s="249">
        <v>15877</v>
      </c>
    </row>
    <row r="48" spans="2:3" x14ac:dyDescent="0.2">
      <c r="B48" s="54" t="s">
        <v>69</v>
      </c>
      <c r="C48" s="247">
        <v>0</v>
      </c>
    </row>
    <row r="50" spans="2:3" ht="14.25" customHeight="1" x14ac:dyDescent="0.2">
      <c r="B50" s="92" t="s">
        <v>70</v>
      </c>
      <c r="C50" s="93"/>
    </row>
    <row r="51" spans="2:3" ht="14.25" customHeight="1" x14ac:dyDescent="0.2">
      <c r="B51" s="94"/>
      <c r="C51" s="95"/>
    </row>
    <row r="52" spans="2:3" x14ac:dyDescent="0.2">
      <c r="B52" s="54" t="s">
        <v>32</v>
      </c>
      <c r="C52" s="247">
        <v>2028</v>
      </c>
    </row>
    <row r="53" spans="2:3" x14ac:dyDescent="0.2">
      <c r="B53" s="54" t="s">
        <v>67</v>
      </c>
      <c r="C53" s="247">
        <v>200</v>
      </c>
    </row>
    <row r="54" spans="2:3" x14ac:dyDescent="0.2">
      <c r="B54" s="54" t="s">
        <v>45</v>
      </c>
      <c r="C54" s="247">
        <v>0</v>
      </c>
    </row>
    <row r="61" spans="2:3" ht="14.1" customHeight="1" x14ac:dyDescent="0.2"/>
    <row r="62" spans="2:3" ht="14.1" customHeight="1" x14ac:dyDescent="0.2"/>
  </sheetData>
  <sheetProtection sheet="1" objects="1" scenarios="1" selectLockedCells="1"/>
  <mergeCells count="16">
    <mergeCell ref="B4:S5"/>
    <mergeCell ref="B7:F7"/>
    <mergeCell ref="H7:I7"/>
    <mergeCell ref="K7:S7"/>
    <mergeCell ref="B50:C51"/>
    <mergeCell ref="K17:R18"/>
    <mergeCell ref="K9:S10"/>
    <mergeCell ref="B9:F10"/>
    <mergeCell ref="B20:F21"/>
    <mergeCell ref="B43:C44"/>
    <mergeCell ref="B36:C37"/>
    <mergeCell ref="H9:I10"/>
    <mergeCell ref="H15:I16"/>
    <mergeCell ref="H21:I22"/>
    <mergeCell ref="H27:I28"/>
    <mergeCell ref="B30:C31"/>
  </mergeCells>
  <pageMargins left="0.7" right="0.7" top="0.78740157499999996" bottom="0.78740157499999996"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9884C-81F2-4E21-8731-7D09C7F0E825}">
  <sheetPr codeName="Tabelle5">
    <tabColor theme="6"/>
  </sheetPr>
  <dimension ref="A1:BC57"/>
  <sheetViews>
    <sheetView zoomScale="60" zoomScaleNormal="60" workbookViewId="0">
      <selection activeCell="E9" sqref="E9:F9"/>
    </sheetView>
  </sheetViews>
  <sheetFormatPr baseColWidth="10" defaultColWidth="11" defaultRowHeight="14.25" x14ac:dyDescent="0.2"/>
  <cols>
    <col min="1" max="1" width="2.125" style="20" customWidth="1"/>
    <col min="2" max="2" width="12.625" style="20" customWidth="1"/>
    <col min="3" max="3" width="17" style="20" customWidth="1"/>
    <col min="4" max="4" width="11" style="20" customWidth="1"/>
    <col min="5" max="20" width="11" style="20"/>
    <col min="21" max="21" width="4.625" style="20" customWidth="1"/>
    <col min="22" max="26" width="11" style="20"/>
    <col min="27" max="27" width="11.75" style="20" customWidth="1"/>
    <col min="28" max="28" width="11.875" style="20" customWidth="1"/>
    <col min="29" max="31" width="11" style="20"/>
    <col min="32" max="32" width="11.75" style="20" customWidth="1"/>
    <col min="33" max="34" width="11" style="20"/>
    <col min="35" max="35" width="12.25" style="20" customWidth="1"/>
    <col min="36" max="36" width="11.25" style="20" customWidth="1"/>
    <col min="37" max="39" width="11" style="20"/>
    <col min="40" max="40" width="13" style="20" customWidth="1"/>
    <col min="41" max="43" width="11" style="20"/>
    <col min="44" max="44" width="13.25" style="20" customWidth="1"/>
    <col min="45" max="45" width="12.625" style="20" customWidth="1"/>
    <col min="46" max="46" width="11" style="20"/>
    <col min="47" max="47" width="11.75" style="20" customWidth="1"/>
    <col min="48" max="49" width="12" style="20" customWidth="1"/>
    <col min="50" max="50" width="11.625" style="20" customWidth="1"/>
    <col min="51" max="51" width="12" style="20" customWidth="1"/>
    <col min="52" max="52" width="12.125" style="20" customWidth="1"/>
    <col min="53" max="53" width="11.625" style="20" customWidth="1"/>
    <col min="54" max="54" width="12.125" style="20" customWidth="1"/>
    <col min="55" max="16384" width="11" style="20"/>
  </cols>
  <sheetData>
    <row r="1" spans="2:55" ht="10.5" customHeight="1" x14ac:dyDescent="0.2">
      <c r="BC1"/>
    </row>
    <row r="2" spans="2:55" s="1" customFormat="1" ht="23.45" customHeight="1" x14ac:dyDescent="0.2">
      <c r="B2" s="2" t="s">
        <v>71</v>
      </c>
    </row>
    <row r="3" spans="2:55" ht="25.15" customHeight="1" x14ac:dyDescent="0.2"/>
    <row r="4" spans="2:55" ht="25.15" customHeight="1" x14ac:dyDescent="0.2">
      <c r="B4" s="81" t="s">
        <v>302</v>
      </c>
      <c r="C4" s="81"/>
      <c r="D4" s="81"/>
      <c r="E4" s="81"/>
      <c r="F4" s="81"/>
      <c r="G4" s="81"/>
      <c r="H4" s="81"/>
      <c r="I4" s="81"/>
      <c r="J4" s="81"/>
      <c r="K4" s="81"/>
      <c r="L4" s="81"/>
      <c r="M4" s="81"/>
      <c r="N4" s="81"/>
      <c r="O4" s="81"/>
      <c r="P4" s="81"/>
      <c r="Q4" s="81"/>
      <c r="R4" s="81"/>
      <c r="S4" s="81"/>
      <c r="T4" s="28"/>
      <c r="U4" s="28"/>
      <c r="V4" s="28"/>
      <c r="W4" s="28"/>
      <c r="X4" s="28"/>
      <c r="Y4" s="28"/>
      <c r="Z4" s="28"/>
    </row>
    <row r="5" spans="2:55" ht="25.15" customHeight="1" x14ac:dyDescent="0.2">
      <c r="B5" s="81"/>
      <c r="C5" s="81"/>
      <c r="D5" s="81"/>
      <c r="E5" s="81"/>
      <c r="F5" s="81"/>
      <c r="G5" s="81"/>
      <c r="H5" s="81"/>
      <c r="I5" s="81"/>
      <c r="J5" s="81"/>
      <c r="K5" s="81"/>
      <c r="L5" s="81"/>
      <c r="M5" s="81"/>
      <c r="N5" s="81"/>
      <c r="O5" s="81"/>
      <c r="P5" s="81"/>
      <c r="Q5" s="81"/>
      <c r="R5" s="81"/>
      <c r="S5" s="81"/>
      <c r="T5" s="28"/>
      <c r="U5" s="28"/>
      <c r="V5" s="28"/>
      <c r="W5" s="28"/>
      <c r="X5" s="28"/>
      <c r="Y5" s="28"/>
      <c r="Z5" s="28"/>
    </row>
    <row r="6" spans="2:55" ht="24" customHeight="1" x14ac:dyDescent="0.2"/>
    <row r="7" spans="2:55" ht="25.15" customHeight="1" x14ac:dyDescent="0.2">
      <c r="B7" s="106" t="s">
        <v>72</v>
      </c>
      <c r="C7" s="106"/>
      <c r="D7" s="106"/>
      <c r="E7" s="106"/>
      <c r="F7" s="106"/>
    </row>
    <row r="8" spans="2:55" ht="27.75" customHeight="1" x14ac:dyDescent="0.2">
      <c r="B8" s="106"/>
      <c r="C8" s="106"/>
      <c r="D8" s="106"/>
      <c r="E8" s="106"/>
      <c r="F8" s="106"/>
    </row>
    <row r="9" spans="2:55" ht="40.5" customHeight="1" x14ac:dyDescent="0.2">
      <c r="B9" s="103" t="str">
        <f>'2. Control Panel - Lüderitz'!C10</f>
        <v>2023 Lüderitz Population Growth Rate</v>
      </c>
      <c r="C9" s="103"/>
      <c r="D9" s="103"/>
      <c r="E9" s="100">
        <f>'2. Control Panel - Lüderitz'!D10</f>
        <v>2.1000000000000001E-2</v>
      </c>
      <c r="F9" s="100"/>
    </row>
    <row r="10" spans="2:55" ht="25.15" customHeight="1" x14ac:dyDescent="0.2">
      <c r="B10" s="103" t="str">
        <f>'2. Control Panel - Lüderitz'!C11</f>
        <v>Census Year</v>
      </c>
      <c r="C10" s="103"/>
      <c r="D10" s="103"/>
      <c r="E10" s="101">
        <f>'2. Control Panel - Lüderitz'!D11</f>
        <v>2023</v>
      </c>
      <c r="F10" s="101"/>
    </row>
    <row r="11" spans="2:55" ht="25.15" customHeight="1" x14ac:dyDescent="0.2">
      <c r="B11" s="103" t="str">
        <f>'2. Control Panel - Lüderitz'!C12</f>
        <v>Census Year Population</v>
      </c>
      <c r="C11" s="103"/>
      <c r="D11" s="103"/>
      <c r="E11" s="102">
        <f>'2. Control Panel - Lüderitz'!D12</f>
        <v>16125</v>
      </c>
      <c r="F11" s="102"/>
    </row>
    <row r="12" spans="2:55" ht="25.15" customHeight="1" x14ac:dyDescent="0.2">
      <c r="B12" s="103" t="str">
        <f>'2. Control Panel - Lüderitz'!C13</f>
        <v>Average Namibian Household Size</v>
      </c>
      <c r="C12" s="103"/>
      <c r="D12" s="103"/>
      <c r="E12" s="103">
        <f>'2. Control Panel - Lüderitz'!G10</f>
        <v>3.8</v>
      </c>
      <c r="F12" s="103"/>
    </row>
    <row r="13" spans="2:55" ht="25.15" customHeight="1" x14ac:dyDescent="0.2">
      <c r="B13" s="103" t="str">
        <f>'2. Control Panel - Lüderitz'!F11</f>
        <v>Relocation Factor</v>
      </c>
      <c r="C13" s="103"/>
      <c r="D13" s="103"/>
      <c r="E13" s="104">
        <f>'2. Control Panel - Lüderitz'!G11</f>
        <v>0.6</v>
      </c>
      <c r="F13" s="104"/>
    </row>
    <row r="14" spans="2:55" ht="39.75" customHeight="1" x14ac:dyDescent="0.2">
      <c r="B14" s="103" t="str">
        <f>'2. Control Panel - Lüderitz'!F12</f>
        <v>Resident / Job Multiplier (residents per job)</v>
      </c>
      <c r="C14" s="103"/>
      <c r="D14" s="103"/>
      <c r="E14" s="103">
        <f>Resident_Job_Multiplier</f>
        <v>2.2799999999999998</v>
      </c>
      <c r="F14" s="103"/>
    </row>
    <row r="15" spans="2:55" ht="43.5" customHeight="1" x14ac:dyDescent="0.2">
      <c r="B15" s="103" t="str">
        <f>'2. Control Panel - Lüderitz'!F13</f>
        <v>Resident / Job Multiplier (without hydrogen worker)</v>
      </c>
      <c r="C15" s="103"/>
      <c r="D15" s="103"/>
      <c r="E15" s="103">
        <f>Resident__Job_Multiplier_wO_H2_worker</f>
        <v>1.68</v>
      </c>
      <c r="F15" s="103"/>
    </row>
    <row r="16" spans="2:55" ht="41.25" customHeight="1" x14ac:dyDescent="0.2">
      <c r="B16" s="103" t="s">
        <v>73</v>
      </c>
      <c r="C16" s="103"/>
      <c r="D16" s="103"/>
      <c r="E16" s="107" t="s">
        <v>74</v>
      </c>
      <c r="F16" s="107"/>
    </row>
    <row r="17" spans="2:55" ht="25.15" customHeight="1" x14ac:dyDescent="0.2"/>
    <row r="18" spans="2:55" ht="25.15" customHeight="1" x14ac:dyDescent="0.2"/>
    <row r="19" spans="2:55" ht="25.15" customHeight="1" x14ac:dyDescent="0.2"/>
    <row r="20" spans="2:55" ht="25.15" customHeight="1" x14ac:dyDescent="0.2"/>
    <row r="21" spans="2:55" ht="25.15" customHeight="1" x14ac:dyDescent="0.2"/>
    <row r="22" spans="2:55" ht="25.15" customHeight="1" x14ac:dyDescent="0.2"/>
    <row r="23" spans="2:55" ht="25.15" customHeight="1" x14ac:dyDescent="0.2"/>
    <row r="24" spans="2:55" ht="25.15" customHeight="1" x14ac:dyDescent="0.2"/>
    <row r="25" spans="2:55" s="39" customFormat="1" ht="23.45" customHeight="1" x14ac:dyDescent="0.2">
      <c r="B25" s="105" t="s">
        <v>75</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20"/>
    </row>
    <row r="26" spans="2:55" s="39" customFormat="1" ht="23.45" customHeight="1" x14ac:dyDescent="0.2">
      <c r="AT26" s="59"/>
      <c r="BC26" s="20"/>
    </row>
    <row r="27" spans="2:55" s="39" customFormat="1" ht="16.5" customHeight="1" x14ac:dyDescent="0.2">
      <c r="E27" s="99" t="s">
        <v>76</v>
      </c>
      <c r="F27" s="99"/>
      <c r="G27" s="99"/>
      <c r="H27" s="99"/>
      <c r="I27" s="99"/>
      <c r="J27" s="99"/>
      <c r="K27" s="99"/>
      <c r="L27" s="99"/>
      <c r="M27" s="99"/>
      <c r="N27" s="99"/>
      <c r="O27" s="99"/>
      <c r="P27" s="99"/>
      <c r="Q27" s="99"/>
      <c r="R27" s="99"/>
      <c r="S27" s="99"/>
      <c r="T27" s="99"/>
      <c r="V27" s="99" t="s">
        <v>304</v>
      </c>
      <c r="W27" s="99"/>
      <c r="X27" s="99"/>
      <c r="Y27" s="99"/>
      <c r="Z27" s="99"/>
      <c r="AA27" s="99"/>
      <c r="AB27" s="99"/>
      <c r="AC27" s="99"/>
      <c r="AD27" s="99"/>
      <c r="AE27" s="99"/>
      <c r="AF27" s="99"/>
      <c r="AG27" s="99"/>
      <c r="AH27" s="99"/>
      <c r="AI27" s="99"/>
      <c r="AJ27" s="99"/>
      <c r="AK27" s="20"/>
      <c r="AL27" s="109" t="s">
        <v>308</v>
      </c>
      <c r="AM27" s="99"/>
      <c r="AN27" s="99"/>
      <c r="AO27" s="99"/>
      <c r="AP27" s="99"/>
      <c r="AQ27" s="99"/>
      <c r="AR27" s="99"/>
      <c r="AS27" s="99"/>
      <c r="AT27" s="20"/>
      <c r="AU27" s="109" t="s">
        <v>303</v>
      </c>
      <c r="AV27" s="99"/>
      <c r="AW27" s="99"/>
      <c r="AX27" s="99"/>
      <c r="AY27" s="99"/>
      <c r="AZ27" s="99"/>
      <c r="BA27" s="99"/>
      <c r="BB27" s="99"/>
      <c r="BC27" s="20"/>
    </row>
    <row r="28" spans="2:55" ht="14.25" customHeight="1" x14ac:dyDescent="0.2">
      <c r="E28" s="99"/>
      <c r="F28" s="99"/>
      <c r="G28" s="99"/>
      <c r="H28" s="99"/>
      <c r="I28" s="99"/>
      <c r="J28" s="99"/>
      <c r="K28" s="99"/>
      <c r="L28" s="99"/>
      <c r="M28" s="99"/>
      <c r="N28" s="99"/>
      <c r="O28" s="99"/>
      <c r="P28" s="99"/>
      <c r="Q28" s="99"/>
      <c r="R28" s="99"/>
      <c r="S28" s="99"/>
      <c r="T28" s="99"/>
      <c r="V28" s="99"/>
      <c r="W28" s="99"/>
      <c r="X28" s="99"/>
      <c r="Y28" s="99"/>
      <c r="Z28" s="99"/>
      <c r="AA28" s="99"/>
      <c r="AB28" s="99"/>
      <c r="AC28" s="99"/>
      <c r="AD28" s="99"/>
      <c r="AE28" s="99"/>
      <c r="AF28" s="99"/>
      <c r="AG28" s="99"/>
      <c r="AH28" s="99"/>
      <c r="AI28" s="99"/>
      <c r="AJ28" s="99"/>
      <c r="AL28" s="99"/>
      <c r="AM28" s="99"/>
      <c r="AN28" s="99"/>
      <c r="AO28" s="99"/>
      <c r="AP28" s="99"/>
      <c r="AQ28" s="99"/>
      <c r="AR28" s="99"/>
      <c r="AS28" s="99"/>
      <c r="AU28" s="99"/>
      <c r="AV28" s="99"/>
      <c r="AW28" s="99"/>
      <c r="AX28" s="99"/>
      <c r="AY28" s="99"/>
      <c r="AZ28" s="99"/>
      <c r="BA28" s="99"/>
      <c r="BB28" s="99"/>
    </row>
    <row r="29" spans="2:55" x14ac:dyDescent="0.2">
      <c r="V29" s="108" t="s">
        <v>77</v>
      </c>
      <c r="W29" s="108" t="s">
        <v>78</v>
      </c>
      <c r="X29" s="110" t="s">
        <v>79</v>
      </c>
      <c r="Y29" s="111"/>
      <c r="Z29" s="111"/>
      <c r="AA29" s="111"/>
      <c r="AB29" s="112"/>
      <c r="AC29" s="108" t="s">
        <v>80</v>
      </c>
      <c r="AD29" s="108"/>
      <c r="AE29" s="108"/>
      <c r="AF29" s="108"/>
      <c r="AG29" s="108" t="s">
        <v>81</v>
      </c>
      <c r="AH29" s="108"/>
      <c r="AI29" s="108"/>
      <c r="AJ29" s="108"/>
      <c r="AL29" s="108" t="s">
        <v>82</v>
      </c>
      <c r="AM29" s="108" t="s">
        <v>78</v>
      </c>
      <c r="AN29" s="57" t="s">
        <v>83</v>
      </c>
      <c r="AO29" s="57" t="s">
        <v>84</v>
      </c>
      <c r="AP29" s="57" t="s">
        <v>85</v>
      </c>
      <c r="AQ29" s="57" t="s">
        <v>86</v>
      </c>
      <c r="AR29" s="57" t="s">
        <v>87</v>
      </c>
      <c r="AS29" s="57" t="s">
        <v>88</v>
      </c>
    </row>
    <row r="30" spans="2:55" ht="67.150000000000006" customHeight="1" x14ac:dyDescent="0.2">
      <c r="B30" s="56" t="s">
        <v>34</v>
      </c>
      <c r="C30" s="57" t="s">
        <v>89</v>
      </c>
      <c r="D30" s="40"/>
      <c r="E30" s="57" t="s">
        <v>90</v>
      </c>
      <c r="F30" s="57" t="s">
        <v>91</v>
      </c>
      <c r="G30" s="57" t="s">
        <v>92</v>
      </c>
      <c r="H30" s="57" t="s">
        <v>93</v>
      </c>
      <c r="I30" s="57" t="s">
        <v>61</v>
      </c>
      <c r="J30" s="57" t="s">
        <v>63</v>
      </c>
      <c r="K30" s="57" t="s">
        <v>66</v>
      </c>
      <c r="L30" s="57" t="s">
        <v>94</v>
      </c>
      <c r="M30" s="57" t="s">
        <v>29</v>
      </c>
      <c r="N30" s="57" t="s">
        <v>51</v>
      </c>
      <c r="O30" s="57" t="s">
        <v>58</v>
      </c>
      <c r="P30" s="57" t="s">
        <v>60</v>
      </c>
      <c r="Q30" s="57" t="s">
        <v>95</v>
      </c>
      <c r="R30" s="57" t="s">
        <v>96</v>
      </c>
      <c r="S30" s="57" t="s">
        <v>97</v>
      </c>
      <c r="T30" s="57" t="s">
        <v>98</v>
      </c>
      <c r="V30" s="108"/>
      <c r="W30" s="108"/>
      <c r="X30" s="57" t="s">
        <v>99</v>
      </c>
      <c r="Y30" s="57" t="s">
        <v>100</v>
      </c>
      <c r="Z30" s="57" t="s">
        <v>101</v>
      </c>
      <c r="AA30" s="57" t="s">
        <v>102</v>
      </c>
      <c r="AB30" s="57" t="s">
        <v>103</v>
      </c>
      <c r="AC30" s="57" t="s">
        <v>99</v>
      </c>
      <c r="AD30" s="57" t="s">
        <v>100</v>
      </c>
      <c r="AE30" s="57" t="s">
        <v>101</v>
      </c>
      <c r="AF30" s="57" t="s">
        <v>103</v>
      </c>
      <c r="AG30" s="57" t="s">
        <v>99</v>
      </c>
      <c r="AH30" s="57" t="s">
        <v>104</v>
      </c>
      <c r="AI30" s="57" t="s">
        <v>105</v>
      </c>
      <c r="AJ30" s="57" t="s">
        <v>106</v>
      </c>
      <c r="AL30" s="108"/>
      <c r="AM30" s="108"/>
      <c r="AN30" s="58" t="s">
        <v>107</v>
      </c>
      <c r="AO30" s="58" t="s">
        <v>108</v>
      </c>
      <c r="AP30" s="58" t="s">
        <v>107</v>
      </c>
      <c r="AQ30" s="58" t="s">
        <v>108</v>
      </c>
      <c r="AR30" s="58" t="s">
        <v>109</v>
      </c>
      <c r="AS30" s="58" t="s">
        <v>110</v>
      </c>
      <c r="AU30" s="57" t="s">
        <v>77</v>
      </c>
      <c r="AV30" s="57" t="s">
        <v>78</v>
      </c>
      <c r="AW30" s="57" t="s">
        <v>83</v>
      </c>
      <c r="AX30" s="57" t="s">
        <v>84</v>
      </c>
      <c r="AY30" s="57" t="s">
        <v>85</v>
      </c>
      <c r="AZ30" s="57" t="s">
        <v>86</v>
      </c>
      <c r="BA30" s="57" t="s">
        <v>87</v>
      </c>
      <c r="BB30" s="57" t="s">
        <v>88</v>
      </c>
    </row>
    <row r="31" spans="2:55" x14ac:dyDescent="0.2">
      <c r="B31" s="42">
        <f>ScenarioStart</f>
        <v>2025</v>
      </c>
      <c r="C31" s="43">
        <f>'2. Control Panel - Lüderitz'!G15</f>
        <v>17000</v>
      </c>
      <c r="D31" s="37"/>
      <c r="E31" s="45" t="str">
        <f>IF(B31&lt;'3. Lüderitz Industry'!$C$12,"",IF('4. Lüderitz Population Calc'!B31&lt;'3. Lüderitz Industry'!$C$16,'3. Lüderitz Industry'!$D$15,IF('4. Lüderitz Population Calc'!B31&lt;'3. Lüderitz Industry'!$C$17,'3. Lüderitz Industry'!$D$16,'3. Lüderitz Industry'!$D$17)))</f>
        <v/>
      </c>
      <c r="F31" s="45" t="str">
        <f>IF(B31&lt;'3. Lüderitz Industry'!$C$12,"",IF('4. Lüderitz Population Calc'!B31&lt;'3. Lüderitz Industry'!$C$16,'3. Lüderitz Industry'!$E$15,IF('4. Lüderitz Population Calc'!B31&lt;'3. Lüderitz Industry'!$C$17,'3. Lüderitz Industry'!$E$16,'3. Lüderitz Industry'!$E$17)))</f>
        <v/>
      </c>
      <c r="G31" s="45" t="str">
        <f>IF(B31&lt;'3. Lüderitz Industry'!$C$26,"",IF(B31&lt;'3. Lüderitz Industry'!$C$27,'3. Lüderitz Industry'!$D$26,IF('4. Lüderitz Population Calc'!B31&lt;'3. Lüderitz Industry'!$C$28,'3. Lüderitz Industry'!$D$27,'3. Lüderitz Industry'!$D$28)))</f>
        <v/>
      </c>
      <c r="H31" s="45" t="str">
        <f>IF(B31&lt;'3. Lüderitz Industry'!$C$26,"",IF(B31&lt;'3. Lüderitz Industry'!$C$27,'3. Lüderitz Industry'!$E$26,IF('4. Lüderitz Population Calc'!B31&lt;'3. Lüderitz Industry'!$C$28,'3. Lüderitz Industry'!$E$27,'3. Lüderitz Industry'!$E$28)))</f>
        <v/>
      </c>
      <c r="I31" s="45" t="str">
        <f>IF(B31&lt;'3. Lüderitz Industry'!$C$32,"",'3. Lüderitz Industry'!$C$33)</f>
        <v/>
      </c>
      <c r="J31" s="45" t="str">
        <f>IF(B31&lt;'3. Lüderitz Industry'!$C$38,"",'3. Lüderitz Industry'!$C$39)</f>
        <v/>
      </c>
      <c r="K31" s="45" t="str">
        <f>IF(B31&lt;'3. Lüderitz Industry'!$C$45,"",'3. Lüderitz Industry'!$C$46)</f>
        <v/>
      </c>
      <c r="L31" s="45" t="str">
        <f>IF(B31&lt;'3. Lüderitz Industry'!$C$52,"",'3. Lüderitz Industry'!$C$53)</f>
        <v/>
      </c>
      <c r="M31" s="45" t="str">
        <f>IF(B31&lt;'3. Lüderitz Industry'!$I$11,"",'3. Lüderitz Industry'!$I$12)</f>
        <v/>
      </c>
      <c r="N31" s="45">
        <f>IF(B31&lt;'3. Lüderitz Industry'!$I$17,"",'3. Lüderitz Industry'!$I$18)</f>
        <v>0</v>
      </c>
      <c r="O31" s="45">
        <f>IF(B31&lt;'3. Lüderitz Industry'!$I$23,"",'3. Lüderitz Industry'!$I$24)</f>
        <v>0</v>
      </c>
      <c r="P31" s="45">
        <f>IF(B31&lt;'3. Lüderitz Industry'!$I$29,"",'3. Lüderitz Industry'!$I$30)</f>
        <v>0</v>
      </c>
      <c r="Q31" s="45" t="str">
        <f>IF(B31&lt;'3. Lüderitz Industry'!$L$12,"",IF('4. Lüderitz Population Calc'!B31&lt;'3. Lüderitz Industry'!$L$13,'3. Lüderitz Industry'!$O$12,IF('4. Lüderitz Population Calc'!B31&lt;'3. Lüderitz Industry'!$L$14,'3. Lüderitz Industry'!$O$13,'3. Lüderitz Industry'!$O$14)))</f>
        <v/>
      </c>
      <c r="R31" s="45" t="str">
        <f>IF(B31&lt;'3. Lüderitz Industry'!$L$12,"",IF('4. Lüderitz Population Calc'!B31&lt;'3. Lüderitz Industry'!$L$13,'3. Lüderitz Industry'!$N$12,IF('4. Lüderitz Population Calc'!B31&lt;'3. Lüderitz Industry'!$L$14,'3. Lüderitz Industry'!$N$13,'3. Lüderitz Industry'!$N$14)))</f>
        <v/>
      </c>
      <c r="S31" s="45" t="str">
        <f>IF(B31&lt;'3. Lüderitz Industry'!$L$20,"",IF('4. Lüderitz Population Calc'!B31&lt;'3. Lüderitz Industry'!$L$21,'3. Lüderitz Industry'!$P$20,IF('4. Lüderitz Population Calc'!B31&lt;'3. Lüderitz Industry'!$L$22,'3. Lüderitz Industry'!$P$21,'3. Lüderitz Industry'!$P$22)))</f>
        <v/>
      </c>
      <c r="T31" s="45" t="str">
        <f>IF(B31&lt;'3. Lüderitz Industry'!$L$20,"",IF('4. Lüderitz Population Calc'!B31&lt;'3. Lüderitz Industry'!$L$21,'3. Lüderitz Industry'!$O$20,IF('4. Lüderitz Population Calc'!B31&lt;'3. Lüderitz Industry'!$L$22,'3. Lüderitz Industry'!$O$21,'3. Lüderitz Industry'!$O$22)))</f>
        <v/>
      </c>
      <c r="U31" s="37"/>
      <c r="V31" s="46"/>
      <c r="W31" s="46"/>
      <c r="X31" s="46"/>
      <c r="Y31" s="46"/>
      <c r="Z31" s="46"/>
      <c r="AA31" s="47" t="str">
        <f>IF(B31&lt;'3. Lüderitz Industry'!$L$12,"0",IF('4. Lüderitz Population Calc'!B31&lt;'3. Lüderitz Industry'!$L$13,'3. Lüderitz Industry'!$M$12,IF('4. Lüderitz Population Calc'!B31&lt;'3. Lüderitz Industry'!$L$14,'3. Lüderitz Industry'!$M$13,('3. Lüderitz Industry'!$M$14+'3. Lüderitz Industry'!$M$13))))</f>
        <v>0</v>
      </c>
      <c r="AB31" s="46"/>
      <c r="AC31" s="46"/>
      <c r="AD31" s="46"/>
      <c r="AE31" s="46"/>
      <c r="AF31" s="46"/>
      <c r="AG31" s="46"/>
      <c r="AH31" s="46"/>
      <c r="AI31" s="47" t="str">
        <f>IF(B31&lt;'3. Lüderitz Industry'!$L$20,"0",IF('4. Lüderitz Population Calc'!B31&lt;'3. Lüderitz Industry'!$L$21,'3. Lüderitz Industry'!$O$20,IF('4. Lüderitz Population Calc'!B31&lt;'3. Lüderitz Industry'!$L$22,'3. Lüderitz Industry'!$O$21,('3. Lüderitz Industry'!$O$21+'3. Lüderitz Industry'!$O$22))))</f>
        <v>0</v>
      </c>
      <c r="AJ31" s="46"/>
      <c r="AK31" s="37"/>
      <c r="AL31" s="45">
        <f>$C$31</f>
        <v>17000</v>
      </c>
      <c r="AM31" s="45">
        <f t="shared" ref="AM31:AS31" si="0">$C$31</f>
        <v>17000</v>
      </c>
      <c r="AN31" s="45">
        <f t="shared" si="0"/>
        <v>17000</v>
      </c>
      <c r="AO31" s="45">
        <f t="shared" si="0"/>
        <v>17000</v>
      </c>
      <c r="AP31" s="45">
        <f t="shared" si="0"/>
        <v>17000</v>
      </c>
      <c r="AQ31" s="45">
        <f t="shared" si="0"/>
        <v>17000</v>
      </c>
      <c r="AR31" s="45">
        <f t="shared" si="0"/>
        <v>17000</v>
      </c>
      <c r="AS31" s="45">
        <f t="shared" si="0"/>
        <v>17000</v>
      </c>
      <c r="AU31" s="45">
        <f>AL31</f>
        <v>17000</v>
      </c>
      <c r="AV31" s="45">
        <f>AM31</f>
        <v>17000</v>
      </c>
      <c r="AW31" s="45">
        <f t="shared" ref="AW31:BB31" si="1">$C$31</f>
        <v>17000</v>
      </c>
      <c r="AX31" s="45">
        <f t="shared" si="1"/>
        <v>17000</v>
      </c>
      <c r="AY31" s="45">
        <f t="shared" si="1"/>
        <v>17000</v>
      </c>
      <c r="AZ31" s="45">
        <f t="shared" si="1"/>
        <v>17000</v>
      </c>
      <c r="BA31" s="45">
        <f t="shared" si="1"/>
        <v>17000</v>
      </c>
      <c r="BB31" s="45">
        <f t="shared" si="1"/>
        <v>17000</v>
      </c>
    </row>
    <row r="32" spans="2:55" x14ac:dyDescent="0.2">
      <c r="B32" s="44">
        <f>B31+1</f>
        <v>2026</v>
      </c>
      <c r="C32" s="45">
        <f>C31+(C31*'2. Control Panel - Lüderitz'!$D$10)</f>
        <v>17357</v>
      </c>
      <c r="D32" s="37"/>
      <c r="E32" s="45">
        <f>IF(B32&lt;'3. Lüderitz Industry'!$C$12,"",IF('4. Lüderitz Population Calc'!B32&lt;'3. Lüderitz Industry'!$C$16,'3. Lüderitz Industry'!$D$15,IF('4. Lüderitz Population Calc'!B32&lt;'3. Lüderitz Industry'!$C$17,'3. Lüderitz Industry'!$D$16,'3. Lüderitz Industry'!$D$17)))</f>
        <v>200</v>
      </c>
      <c r="F32" s="45">
        <f>IF(B32&lt;'3. Lüderitz Industry'!$C$12,"",IF('4. Lüderitz Population Calc'!B32&lt;'3. Lüderitz Industry'!$C$16,'3. Lüderitz Industry'!$E$15,IF('4. Lüderitz Population Calc'!B32&lt;'3. Lüderitz Industry'!$C$17,'3. Lüderitz Industry'!$E$16,'3. Lüderitz Industry'!$E$17)))</f>
        <v>500</v>
      </c>
      <c r="G32" s="45">
        <f>IF(B32&lt;'3. Lüderitz Industry'!$C$26,"",IF(B32&lt;'3. Lüderitz Industry'!$C$27,'3. Lüderitz Industry'!$D$26,IF('4. Lüderitz Population Calc'!B32&lt;'3. Lüderitz Industry'!$C$28,'3. Lüderitz Industry'!$D$27,'3. Lüderitz Industry'!$D$28)))</f>
        <v>291.42857142857139</v>
      </c>
      <c r="H32" s="45">
        <f>IF(B32&lt;'3. Lüderitz Industry'!$C$26,"",IF(B32&lt;'3. Lüderitz Industry'!$C$27,'3. Lüderitz Industry'!$E$26,IF('4. Lüderitz Population Calc'!B32&lt;'3. Lüderitz Industry'!$C$28,'3. Lüderitz Industry'!$E$27,'3. Lüderitz Industry'!$E$28)))</f>
        <v>728.57142857142844</v>
      </c>
      <c r="I32" s="45" t="str">
        <f>IF(B32&lt;'3. Lüderitz Industry'!$C$32,"",'3. Lüderitz Industry'!$C$33)</f>
        <v/>
      </c>
      <c r="J32" s="45" t="str">
        <f>IF(B32&lt;'3. Lüderitz Industry'!$C$38,"",'3. Lüderitz Industry'!$C$39)</f>
        <v/>
      </c>
      <c r="K32" s="45">
        <f>IF(B32&lt;'3. Lüderitz Industry'!$C$45,"",'3. Lüderitz Industry'!$C$46)</f>
        <v>0</v>
      </c>
      <c r="L32" s="45" t="str">
        <f>IF(B32&lt;'3. Lüderitz Industry'!$C$52,"",'3. Lüderitz Industry'!$C$53)</f>
        <v/>
      </c>
      <c r="M32" s="45" t="str">
        <f>IF(B32&lt;'3. Lüderitz Industry'!$I$11,"",'3. Lüderitz Industry'!$I$12)</f>
        <v/>
      </c>
      <c r="N32" s="45">
        <f>IF(B32&lt;'3. Lüderitz Industry'!$I$17,"",'3. Lüderitz Industry'!$I$18)</f>
        <v>0</v>
      </c>
      <c r="O32" s="45">
        <f>IF(B32&lt;'3. Lüderitz Industry'!$I$23,"",'3. Lüderitz Industry'!$I$24)</f>
        <v>0</v>
      </c>
      <c r="P32" s="45">
        <f>IF(B32&lt;'3. Lüderitz Industry'!$I$29,"",'3. Lüderitz Industry'!$I$30)</f>
        <v>0</v>
      </c>
      <c r="Q32" s="45" t="str">
        <f>IF(B32&lt;'3. Lüderitz Industry'!$L$12,"",IF('4. Lüderitz Population Calc'!B32&lt;'3. Lüderitz Industry'!$L$13,'3. Lüderitz Industry'!$O$12,IF('4. Lüderitz Population Calc'!B32&lt;'3. Lüderitz Industry'!$L$14,'3. Lüderitz Industry'!$O$13,'3. Lüderitz Industry'!$O$14)))</f>
        <v/>
      </c>
      <c r="R32" s="45" t="str">
        <f>IF(B32&lt;'3. Lüderitz Industry'!$L$12,"",IF('4. Lüderitz Population Calc'!B32&lt;'3. Lüderitz Industry'!$L$13,'3. Lüderitz Industry'!$N$12,IF('4. Lüderitz Population Calc'!B32&lt;'3. Lüderitz Industry'!$L$14,'3. Lüderitz Industry'!$N$13,'3. Lüderitz Industry'!$N$14)))</f>
        <v/>
      </c>
      <c r="S32" s="45" t="str">
        <f>IF(B32&lt;'3. Lüderitz Industry'!$L$20,"",IF('4. Lüderitz Population Calc'!B32&lt;'3. Lüderitz Industry'!$L$21,'3. Lüderitz Industry'!$P$20,IF('4. Lüderitz Population Calc'!B32&lt;'3. Lüderitz Industry'!$L$22,'3. Lüderitz Industry'!$P$21,'3. Lüderitz Industry'!$P$22)))</f>
        <v/>
      </c>
      <c r="T32" s="45" t="str">
        <f>IF(B32&lt;'3. Lüderitz Industry'!$L$20,"",IF('4. Lüderitz Population Calc'!B32&lt;'3. Lüderitz Industry'!$L$21,'3. Lüderitz Industry'!$O$20,IF('4. Lüderitz Population Calc'!B32&lt;'3. Lüderitz Industry'!$L$22,'3. Lüderitz Industry'!$O$21,'3. Lüderitz Industry'!$O$22)))</f>
        <v/>
      </c>
      <c r="U32" s="37"/>
      <c r="V32" s="46">
        <f>SUM(E32:L32)-SUM(E31:L31)</f>
        <v>1719.9999999999998</v>
      </c>
      <c r="W32" s="46">
        <f>SUM(E32:P32)-SUM(E31:P31)</f>
        <v>1719.9999999999998</v>
      </c>
      <c r="X32" s="46">
        <f>SUM(E32:L32,Q32:R32)-SUM(E31:L31,Q31:R31)</f>
        <v>1719.9999999999998</v>
      </c>
      <c r="Y32" s="46">
        <f>MAX(X32-(SUM(Q32:R32)-SUM(Q31:R31)),0)</f>
        <v>1719.9999999999998</v>
      </c>
      <c r="Z32" s="46">
        <f>SUM(Q32:R32)-SUM(Q31:R31)</f>
        <v>0</v>
      </c>
      <c r="AA32" s="47" t="str">
        <f>IF(B32&lt;'3. Lüderitz Industry'!$L$12,"0",IF('4. Lüderitz Population Calc'!B32&lt;'3. Lüderitz Industry'!$L$13,'3. Lüderitz Industry'!$M$12,IF('4. Lüderitz Population Calc'!B32&lt;'3. Lüderitz Industry'!$L$14,'3. Lüderitz Industry'!$M$13,('3. Lüderitz Industry'!$M$14+'3. Lüderitz Industry'!$M$13))))</f>
        <v>0</v>
      </c>
      <c r="AB32" s="46">
        <f>Y32+(AA32-AA31)</f>
        <v>1719.9999999999998</v>
      </c>
      <c r="AC32" s="46">
        <f>SUM(E32:R32)-SUM(E31:R31)</f>
        <v>1719.9999999999998</v>
      </c>
      <c r="AD32" s="46">
        <f>MAX(AC32-(SUM(Q32:R32)-SUM(Q31:R31)),0)</f>
        <v>1719.9999999999998</v>
      </c>
      <c r="AE32" s="46">
        <f>SUM(Q32:R32)-SUM(Q31:R31)</f>
        <v>0</v>
      </c>
      <c r="AF32" s="46">
        <f>AD32+(AA32-AA31)</f>
        <v>1719.9999999999998</v>
      </c>
      <c r="AG32" s="46">
        <f>SUM(E32:T32)-SUM(E31:T31)</f>
        <v>1719.9999999999998</v>
      </c>
      <c r="AH32" s="46">
        <f>AF32</f>
        <v>1719.9999999999998</v>
      </c>
      <c r="AI32" s="47" t="str">
        <f>IF(B32&lt;'3. Lüderitz Industry'!$L$20,"0",IF('4. Lüderitz Population Calc'!B32&lt;'3. Lüderitz Industry'!$L$21,'3. Lüderitz Industry'!$O$20,IF('4. Lüderitz Population Calc'!B32&lt;'3. Lüderitz Industry'!$L$22,'3. Lüderitz Industry'!$O$21,('3. Lüderitz Industry'!$O$21+'3. Lüderitz Industry'!$O$22))))</f>
        <v>0</v>
      </c>
      <c r="AJ32" s="46">
        <f>AF32+(AI32-AI31)</f>
        <v>1719.9999999999998</v>
      </c>
      <c r="AK32" s="37"/>
      <c r="AL32" s="45">
        <f>C32+(V32*Resident_Job_Multiplier)</f>
        <v>21278.6</v>
      </c>
      <c r="AM32" s="45">
        <f>C32+(W32*'2. Control Panel - Lüderitz'!$G$12)</f>
        <v>21278.6</v>
      </c>
      <c r="AN32" s="45">
        <f>(C32+(Y32*'2. Control Panel - Lüderitz'!$G$12)+Z32)</f>
        <v>21278.6</v>
      </c>
      <c r="AO32" s="45">
        <f>C32+(AB32*'2. Control Panel - Lüderitz'!$G$12)</f>
        <v>21278.6</v>
      </c>
      <c r="AP32" s="45">
        <f>(C32+(AD32*'2. Control Panel - Lüderitz'!$G$12)+AE32)</f>
        <v>21278.6</v>
      </c>
      <c r="AQ32" s="45">
        <f>C32+(AF32*'2. Control Panel - Lüderitz'!$G$12)</f>
        <v>21278.6</v>
      </c>
      <c r="AR32" s="45">
        <f>C32+(AH32*'2. Control Panel - Lüderitz'!$G$12)</f>
        <v>21278.6</v>
      </c>
      <c r="AS32" s="45">
        <f>C32+(AJ32*'2. Control Panel - Lüderitz'!$G$12)</f>
        <v>21278.6</v>
      </c>
      <c r="AU32" s="45">
        <f t="shared" ref="AU32:AU56" si="2">AL32</f>
        <v>21278.6</v>
      </c>
      <c r="AV32" s="45">
        <f t="shared" ref="AV32:AV56" si="3">AM32</f>
        <v>21278.6</v>
      </c>
      <c r="AW32" s="45">
        <f>C32+(Y32*'2. Control Panel - Lüderitz'!$G$12)</f>
        <v>21278.6</v>
      </c>
      <c r="AX32" s="45">
        <f>C32+(Y32*Resident_Job_Multiplier)</f>
        <v>21278.6</v>
      </c>
      <c r="AY32" s="45">
        <f>C32+(AD32*Resident_Job_Multiplier)</f>
        <v>21278.6</v>
      </c>
      <c r="AZ32" s="45">
        <f>C32+(AD32*Resident_Job_Multiplier)</f>
        <v>21278.6</v>
      </c>
      <c r="BA32" s="45">
        <f>C32+(AH32*Resident_Job_Multiplier)</f>
        <v>21278.6</v>
      </c>
      <c r="BB32" s="45">
        <f>C32+(AJ32*Resident_Job_Multiplier)</f>
        <v>21278.6</v>
      </c>
    </row>
    <row r="33" spans="2:54" x14ac:dyDescent="0.2">
      <c r="B33" s="44">
        <f t="shared" ref="B33:B54" si="4">B32+1</f>
        <v>2027</v>
      </c>
      <c r="C33" s="45">
        <f>C32+(C32*'2. Control Panel - Lüderitz'!$D$10)</f>
        <v>17721.496999999999</v>
      </c>
      <c r="D33" s="37"/>
      <c r="E33" s="45">
        <f>IF(B33&lt;'3. Lüderitz Industry'!$C$12,"",IF('4. Lüderitz Population Calc'!B33&lt;'3. Lüderitz Industry'!$C$16,'3. Lüderitz Industry'!$D$15,IF('4. Lüderitz Population Calc'!B33&lt;'3. Lüderitz Industry'!$C$17,'3. Lüderitz Industry'!$D$16,'3. Lüderitz Industry'!$D$17)))</f>
        <v>200</v>
      </c>
      <c r="F33" s="45">
        <f>IF(B33&lt;'3. Lüderitz Industry'!$C$12,"",IF('4. Lüderitz Population Calc'!B33&lt;'3. Lüderitz Industry'!$C$16,'3. Lüderitz Industry'!$E$15,IF('4. Lüderitz Population Calc'!B33&lt;'3. Lüderitz Industry'!$C$17,'3. Lüderitz Industry'!$E$16,'3. Lüderitz Industry'!$E$17)))</f>
        <v>500</v>
      </c>
      <c r="G33" s="45">
        <f>IF(B33&lt;'3. Lüderitz Industry'!$C$26,"",IF(B33&lt;'3. Lüderitz Industry'!$C$27,'3. Lüderitz Industry'!$D$26,IF('4. Lüderitz Population Calc'!B33&lt;'3. Lüderitz Industry'!$C$28,'3. Lüderitz Industry'!$D$27,'3. Lüderitz Industry'!$D$28)))</f>
        <v>291.42857142857139</v>
      </c>
      <c r="H33" s="45">
        <f>IF(B33&lt;'3. Lüderitz Industry'!$C$26,"",IF(B33&lt;'3. Lüderitz Industry'!$C$27,'3. Lüderitz Industry'!$E$26,IF('4. Lüderitz Population Calc'!B33&lt;'3. Lüderitz Industry'!$C$28,'3. Lüderitz Industry'!$E$27,'3. Lüderitz Industry'!$E$28)))</f>
        <v>728.57142857142844</v>
      </c>
      <c r="I33" s="45">
        <f>IF(B33&lt;'3. Lüderitz Industry'!$C$32,"",'3. Lüderitz Industry'!$C$33)</f>
        <v>310</v>
      </c>
      <c r="J33" s="45" t="str">
        <f>IF(B33&lt;'3. Lüderitz Industry'!$C$38,"",'3. Lüderitz Industry'!$C$39)</f>
        <v/>
      </c>
      <c r="K33" s="45">
        <f>IF(B33&lt;'3. Lüderitz Industry'!$C$45,"",'3. Lüderitz Industry'!$C$46)</f>
        <v>0</v>
      </c>
      <c r="L33" s="45" t="str">
        <f>IF(B33&lt;'3. Lüderitz Industry'!$C$52,"",'3. Lüderitz Industry'!$C$53)</f>
        <v/>
      </c>
      <c r="M33" s="45" t="str">
        <f>IF(B33&lt;'3. Lüderitz Industry'!$I$11,"",'3. Lüderitz Industry'!$I$12)</f>
        <v/>
      </c>
      <c r="N33" s="45">
        <f>IF(B33&lt;'3. Lüderitz Industry'!$I$17,"",'3. Lüderitz Industry'!$I$18)</f>
        <v>0</v>
      </c>
      <c r="O33" s="45">
        <f>IF(B33&lt;'3. Lüderitz Industry'!$I$23,"",'3. Lüderitz Industry'!$I$24)</f>
        <v>0</v>
      </c>
      <c r="P33" s="45">
        <f>IF(B33&lt;'3. Lüderitz Industry'!$I$29,"",'3. Lüderitz Industry'!$I$30)</f>
        <v>0</v>
      </c>
      <c r="Q33" s="45">
        <f>IF(B33&lt;'3. Lüderitz Industry'!$L$12,"",IF('4. Lüderitz Population Calc'!B33&lt;'3. Lüderitz Industry'!$L$13,'3. Lüderitz Industry'!$O$12,IF('4. Lüderitz Population Calc'!B33&lt;'3. Lüderitz Industry'!$L$14,'3. Lüderitz Industry'!$O$13,'3. Lüderitz Industry'!$O$14)))</f>
        <v>14000</v>
      </c>
      <c r="R33" s="45">
        <f>IF(B33&lt;'3. Lüderitz Industry'!$L$12,"",IF('4. Lüderitz Population Calc'!B33&lt;'3. Lüderitz Industry'!$L$13,'3. Lüderitz Industry'!$N$12,IF('4. Lüderitz Population Calc'!B33&lt;'3. Lüderitz Industry'!$L$14,'3. Lüderitz Industry'!$N$13,'3. Lüderitz Industry'!$N$14)))</f>
        <v>1000</v>
      </c>
      <c r="S33" s="45" t="str">
        <f>IF(B33&lt;'3. Lüderitz Industry'!$L$20,"",IF('4. Lüderitz Population Calc'!B33&lt;'3. Lüderitz Industry'!$L$21,'3. Lüderitz Industry'!$P$20,IF('4. Lüderitz Population Calc'!B33&lt;'3. Lüderitz Industry'!$L$22,'3. Lüderitz Industry'!$P$21,'3. Lüderitz Industry'!$P$22)))</f>
        <v/>
      </c>
      <c r="T33" s="45" t="str">
        <f>IF(B33&lt;'3. Lüderitz Industry'!$L$20,"",IF('4. Lüderitz Population Calc'!B33&lt;'3. Lüderitz Industry'!$L$21,'3. Lüderitz Industry'!$O$20,IF('4. Lüderitz Population Calc'!B33&lt;'3. Lüderitz Industry'!$L$22,'3. Lüderitz Industry'!$O$21,'3. Lüderitz Industry'!$O$22)))</f>
        <v/>
      </c>
      <c r="U33" s="37"/>
      <c r="V33" s="45">
        <f>SUM(E33:L33)-SUM(E32:L32)</f>
        <v>310</v>
      </c>
      <c r="W33" s="45">
        <f t="shared" ref="W33:W56" si="5">SUM(E33:P33)-SUM(E32:P32)</f>
        <v>310</v>
      </c>
      <c r="X33" s="45">
        <f t="shared" ref="X33:X56" si="6">SUM(E33:L33,Q33:R33)-SUM(E32:L32,Q32:R32)</f>
        <v>15310</v>
      </c>
      <c r="Y33" s="45">
        <f t="shared" ref="Y33:Y56" si="7">MAX(X33-(SUM(Q33:R33)-SUM(Q32:R32)),0)</f>
        <v>310</v>
      </c>
      <c r="Z33" s="45">
        <f t="shared" ref="Z33:Z56" si="8">SUM(Q33:R33)-SUM(Q32:R32)</f>
        <v>15000</v>
      </c>
      <c r="AA33" s="45">
        <f>IF(B33&lt;'3. Lüderitz Industry'!$L$12,"0",IF('4. Lüderitz Population Calc'!B33&lt;'3. Lüderitz Industry'!$L$13,'3. Lüderitz Industry'!$M$12,IF('4. Lüderitz Population Calc'!B33&lt;'3. Lüderitz Industry'!$L$14,'3. Lüderitz Industry'!$M$13,('3. Lüderitz Industry'!$M$14+'3. Lüderitz Industry'!$M$13))))</f>
        <v>15000</v>
      </c>
      <c r="AB33" s="45">
        <f t="shared" ref="AB33:AB56" si="9">Y33+(AA33-AA32)</f>
        <v>15310</v>
      </c>
      <c r="AC33" s="45">
        <f t="shared" ref="AC33:AC56" si="10">SUM(E33:R33)-SUM(E32:R32)</f>
        <v>15310</v>
      </c>
      <c r="AD33" s="45">
        <f t="shared" ref="AD33:AD56" si="11">MAX(AC33-(SUM(Q33:R33)-SUM(Q32:R32)),0)</f>
        <v>310</v>
      </c>
      <c r="AE33" s="45">
        <f t="shared" ref="AE33:AE56" si="12">SUM(Q33:R33)-SUM(Q32:R32)</f>
        <v>15000</v>
      </c>
      <c r="AF33" s="45">
        <f t="shared" ref="AF33:AF56" si="13">AD33+(AA33-AA32)</f>
        <v>15310</v>
      </c>
      <c r="AG33" s="45">
        <f t="shared" ref="AG33:AG56" si="14">SUM(E33:T33)-SUM(E32:T32)</f>
        <v>15310</v>
      </c>
      <c r="AH33" s="45">
        <f t="shared" ref="AH33:AH56" si="15">AF33</f>
        <v>15310</v>
      </c>
      <c r="AI33" s="48" t="str">
        <f>IF(B33&lt;'3. Lüderitz Industry'!$L$20,"0",IF('4. Lüderitz Population Calc'!B33&lt;'3. Lüderitz Industry'!$L$21,'3. Lüderitz Industry'!$O$20,IF('4. Lüderitz Population Calc'!B33&lt;'3. Lüderitz Industry'!$L$22,'3. Lüderitz Industry'!$O$21,('3. Lüderitz Industry'!$O$21+'3. Lüderitz Industry'!$O$22))))</f>
        <v>0</v>
      </c>
      <c r="AJ33" s="45">
        <f t="shared" ref="AJ33:AJ56" si="16">AF33+(AI33-AI32)</f>
        <v>15310</v>
      </c>
      <c r="AK33" s="37"/>
      <c r="AL33" s="45">
        <f>(AL32+(AL32*Lüderitz_PopulationGrowthRate))+('4. Lüderitz Population Calc'!V33*Resident_Job_Multiplier)</f>
        <v>22432.250599999999</v>
      </c>
      <c r="AM33" s="45">
        <f>(AM32+(AM32*Lüderitz_PopulationGrowthRate))+('4. Lüderitz Population Calc'!W33*'2. Control Panel - Lüderitz'!$G$12)</f>
        <v>22432.250599999999</v>
      </c>
      <c r="AN33" s="45">
        <f>(AN32+(AN32*Lüderitz_PopulationGrowthRate))+('4. Lüderitz Population Calc'!Y33*'2. Control Panel - Lüderitz'!$G$12)+Z33</f>
        <v>37432.250599999999</v>
      </c>
      <c r="AO33" s="45">
        <f>(AO32+(AO32*'2. Control Panel - Lüderitz'!$D$10))+('4. Lüderitz Population Calc'!AB33*'2. Control Panel - Lüderitz'!$G$12)</f>
        <v>56632.250599999999</v>
      </c>
      <c r="AP33" s="45">
        <f>(AP32+(AP32*'2. Control Panel - Lüderitz'!$D$10))+('4. Lüderitz Population Calc'!AD33*'2. Control Panel - Lüderitz'!$G$12)+AE33</f>
        <v>37432.250599999999</v>
      </c>
      <c r="AQ33" s="45">
        <f>(AQ32+(AQ32*'2. Control Panel - Lüderitz'!$D$10))+('4. Lüderitz Population Calc'!AF33*'2. Control Panel - Lüderitz'!$G$12)</f>
        <v>56632.250599999999</v>
      </c>
      <c r="AR33" s="45">
        <f>(AR32+(AR32*'2. Control Panel - Lüderitz'!$D$10))+('4. Lüderitz Population Calc'!AH33*'2. Control Panel - Lüderitz'!$G$12)+(AI33-AI32)</f>
        <v>56632.250599999999</v>
      </c>
      <c r="AS33" s="45">
        <f>(AS32+(AS32*'2. Control Panel - Lüderitz'!$D$10))+('4. Lüderitz Population Calc'!AJ33*'2. Control Panel - Lüderitz'!$G$12)</f>
        <v>56632.250599999999</v>
      </c>
      <c r="AU33" s="45">
        <f t="shared" si="2"/>
        <v>22432.250599999999</v>
      </c>
      <c r="AV33" s="45">
        <f t="shared" si="3"/>
        <v>22432.250599999999</v>
      </c>
      <c r="AW33" s="45">
        <f>(AW32+(AW32*'2. Control Panel - Lüderitz'!$D$10))+('4. Lüderitz Population Calc'!Y33*Resident_Job_Multiplier)</f>
        <v>22432.250599999999</v>
      </c>
      <c r="AX33" s="45">
        <f>(AX32+(AX32*Lüderitz_PopulationGrowthRate))+('4. Lüderitz Population Calc'!Y33*Resident_Job_Multiplier)+(Z33*Resident__Job_Multiplier_wO_H2_worker)</f>
        <v>47632.250599999999</v>
      </c>
      <c r="AY33" s="45">
        <f>(AY32+(AY32*Lüderitz_PopulationGrowthRate))+('4. Lüderitz Population Calc'!AD33*Resident_Job_Multiplier)</f>
        <v>22432.250599999999</v>
      </c>
      <c r="AZ33" s="45">
        <f>(AZ32+(AZ32*Lüderitz_PopulationGrowthRate))+('4. Lüderitz Population Calc'!AD33*Resident_Job_Multiplier)+((AF33-AD33)*Resident__Job_Multiplier_wO_H2_worker)</f>
        <v>47632.250599999999</v>
      </c>
      <c r="BA33" s="45">
        <f>(BA32+(BA32*Lüderitz_PopulationGrowthRate))+('4. Lüderitz Population Calc'!AD33*Resident_Job_Multiplier)+((AF33-AD33)*Resident__Job_Multiplier_wO_H2_worker)</f>
        <v>47632.250599999999</v>
      </c>
      <c r="BB33" s="45">
        <f>(BB32+(BB32*Lüderitz_PopulationGrowthRate))+('4. Lüderitz Population Calc'!AD33*Resident_Job_Multiplier)+((AF33-AD33)*Resident__Job_Multiplier_wO_H2_worker)+((AI33-AI32)*Resident__Job_Multiplier_wO_H2_worker)</f>
        <v>47632.250599999999</v>
      </c>
    </row>
    <row r="34" spans="2:54" x14ac:dyDescent="0.2">
      <c r="B34" s="44">
        <f t="shared" si="4"/>
        <v>2028</v>
      </c>
      <c r="C34" s="45">
        <f>C33+(C33*'2. Control Panel - Lüderitz'!$D$10)</f>
        <v>18093.648437</v>
      </c>
      <c r="D34" s="37"/>
      <c r="E34" s="45">
        <f>IF(B34&lt;'3. Lüderitz Industry'!$C$12,"",IF('4. Lüderitz Population Calc'!B34&lt;'3. Lüderitz Industry'!$C$16,'3. Lüderitz Industry'!$D$15,IF('4. Lüderitz Population Calc'!B34&lt;'3. Lüderitz Industry'!$C$17,'3. Lüderitz Industry'!$D$16,'3. Lüderitz Industry'!$D$17)))</f>
        <v>200</v>
      </c>
      <c r="F34" s="45">
        <f>IF(B34&lt;'3. Lüderitz Industry'!$C$12,"",IF('4. Lüderitz Population Calc'!B34&lt;'3. Lüderitz Industry'!$C$16,'3. Lüderitz Industry'!$E$15,IF('4. Lüderitz Population Calc'!B34&lt;'3. Lüderitz Industry'!$C$17,'3. Lüderitz Industry'!$E$16,'3. Lüderitz Industry'!$E$17)))</f>
        <v>500</v>
      </c>
      <c r="G34" s="45">
        <f>IF(B34&lt;'3. Lüderitz Industry'!$C$26,"",IF(B34&lt;'3. Lüderitz Industry'!$C$27,'3. Lüderitz Industry'!$D$26,IF('4. Lüderitz Population Calc'!B34&lt;'3. Lüderitz Industry'!$C$28,'3. Lüderitz Industry'!$D$27,'3. Lüderitz Industry'!$D$28)))</f>
        <v>291.42857142857139</v>
      </c>
      <c r="H34" s="45">
        <f>IF(B34&lt;'3. Lüderitz Industry'!$C$26,"",IF(B34&lt;'3. Lüderitz Industry'!$C$27,'3. Lüderitz Industry'!$E$26,IF('4. Lüderitz Population Calc'!B34&lt;'3. Lüderitz Industry'!$C$28,'3. Lüderitz Industry'!$E$27,'3. Lüderitz Industry'!$E$28)))</f>
        <v>728.57142857142844</v>
      </c>
      <c r="I34" s="45">
        <f>IF(B34&lt;'3. Lüderitz Industry'!$C$32,"",'3. Lüderitz Industry'!$C$33)</f>
        <v>310</v>
      </c>
      <c r="J34" s="45" t="str">
        <f>IF(B34&lt;'3. Lüderitz Industry'!$C$38,"",'3. Lüderitz Industry'!$C$39)</f>
        <v/>
      </c>
      <c r="K34" s="45">
        <f>IF(B34&lt;'3. Lüderitz Industry'!$C$45,"",'3. Lüderitz Industry'!$C$46)</f>
        <v>0</v>
      </c>
      <c r="L34" s="45">
        <f>IF(B34&lt;'3. Lüderitz Industry'!$C$52,"",'3. Lüderitz Industry'!$C$53)</f>
        <v>200</v>
      </c>
      <c r="M34" s="45" t="str">
        <f>IF(B34&lt;'3. Lüderitz Industry'!$I$11,"",'3. Lüderitz Industry'!$I$12)</f>
        <v/>
      </c>
      <c r="N34" s="45">
        <f>IF(B34&lt;'3. Lüderitz Industry'!$I$17,"",'3. Lüderitz Industry'!$I$18)</f>
        <v>0</v>
      </c>
      <c r="O34" s="45">
        <f>IF(B34&lt;'3. Lüderitz Industry'!$I$23,"",'3. Lüderitz Industry'!$I$24)</f>
        <v>0</v>
      </c>
      <c r="P34" s="45">
        <f>IF(B34&lt;'3. Lüderitz Industry'!$I$29,"",'3. Lüderitz Industry'!$I$30)</f>
        <v>0</v>
      </c>
      <c r="Q34" s="45">
        <f>IF(B34&lt;'3. Lüderitz Industry'!$L$12,"",IF('4. Lüderitz Population Calc'!B34&lt;'3. Lüderitz Industry'!$L$13,'3. Lüderitz Industry'!$O$12,IF('4. Lüderitz Population Calc'!B34&lt;'3. Lüderitz Industry'!$L$14,'3. Lüderitz Industry'!$O$13,'3. Lüderitz Industry'!$O$14)))</f>
        <v>14000</v>
      </c>
      <c r="R34" s="45">
        <f>IF(B34&lt;'3. Lüderitz Industry'!$L$12,"",IF('4. Lüderitz Population Calc'!B34&lt;'3. Lüderitz Industry'!$L$13,'3. Lüderitz Industry'!$N$12,IF('4. Lüderitz Population Calc'!B34&lt;'3. Lüderitz Industry'!$L$14,'3. Lüderitz Industry'!$N$13,'3. Lüderitz Industry'!$N$14)))</f>
        <v>1000</v>
      </c>
      <c r="S34" s="45" t="str">
        <f>IF(B34&lt;'3. Lüderitz Industry'!$L$20,"",IF('4. Lüderitz Population Calc'!B34&lt;'3. Lüderitz Industry'!$L$21,'3. Lüderitz Industry'!$P$20,IF('4. Lüderitz Population Calc'!B34&lt;'3. Lüderitz Industry'!$L$22,'3. Lüderitz Industry'!$P$21,'3. Lüderitz Industry'!$P$22)))</f>
        <v/>
      </c>
      <c r="T34" s="45" t="str">
        <f>IF(B34&lt;'3. Lüderitz Industry'!$L$20,"",IF('4. Lüderitz Population Calc'!B34&lt;'3. Lüderitz Industry'!$L$21,'3. Lüderitz Industry'!$O$20,IF('4. Lüderitz Population Calc'!B34&lt;'3. Lüderitz Industry'!$L$22,'3. Lüderitz Industry'!$O$21,'3. Lüderitz Industry'!$O$22)))</f>
        <v/>
      </c>
      <c r="U34" s="37"/>
      <c r="V34" s="45">
        <f t="shared" ref="V34:V56" si="17">SUM(E34:L34)-SUM(E33:L33)</f>
        <v>200.00000000000023</v>
      </c>
      <c r="W34" s="45">
        <f t="shared" si="5"/>
        <v>200.00000000000023</v>
      </c>
      <c r="X34" s="45">
        <f t="shared" si="6"/>
        <v>200</v>
      </c>
      <c r="Y34" s="45">
        <f t="shared" si="7"/>
        <v>200</v>
      </c>
      <c r="Z34" s="45">
        <f t="shared" si="8"/>
        <v>0</v>
      </c>
      <c r="AA34" s="45">
        <f>IF(B34&lt;'3. Lüderitz Industry'!$L$12,"0",IF('4. Lüderitz Population Calc'!B34&lt;'3. Lüderitz Industry'!$L$13,'3. Lüderitz Industry'!$M$12,IF('4. Lüderitz Population Calc'!B34&lt;'3. Lüderitz Industry'!$L$14,'3. Lüderitz Industry'!$M$13,('3. Lüderitz Industry'!$M$14+'3. Lüderitz Industry'!$M$13))))</f>
        <v>15000</v>
      </c>
      <c r="AB34" s="45">
        <f t="shared" si="9"/>
        <v>200</v>
      </c>
      <c r="AC34" s="45">
        <f t="shared" si="10"/>
        <v>200</v>
      </c>
      <c r="AD34" s="45">
        <f t="shared" si="11"/>
        <v>200</v>
      </c>
      <c r="AE34" s="45">
        <f t="shared" si="12"/>
        <v>0</v>
      </c>
      <c r="AF34" s="45">
        <f t="shared" si="13"/>
        <v>200</v>
      </c>
      <c r="AG34" s="45">
        <f t="shared" si="14"/>
        <v>200</v>
      </c>
      <c r="AH34" s="45">
        <f t="shared" si="15"/>
        <v>200</v>
      </c>
      <c r="AI34" s="48" t="str">
        <f>IF(B34&lt;'3. Lüderitz Industry'!$L$20,"0",IF('4. Lüderitz Population Calc'!B34&lt;'3. Lüderitz Industry'!$L$21,'3. Lüderitz Industry'!$O$20,IF('4. Lüderitz Population Calc'!B34&lt;'3. Lüderitz Industry'!$L$22,'3. Lüderitz Industry'!$O$21,('3. Lüderitz Industry'!$O$21+'3. Lüderitz Industry'!$O$22))))</f>
        <v>0</v>
      </c>
      <c r="AJ34" s="45">
        <f t="shared" si="16"/>
        <v>200</v>
      </c>
      <c r="AK34" s="37"/>
      <c r="AL34" s="45">
        <f>(AL33+(AL33*Lüderitz_PopulationGrowthRate))+('4. Lüderitz Population Calc'!V34*Resident_Job_Multiplier)</f>
        <v>23359.327862599999</v>
      </c>
      <c r="AM34" s="45">
        <f>(AM33+(AM33*Lüderitz_PopulationGrowthRate))+('4. Lüderitz Population Calc'!W34*'2. Control Panel - Lüderitz'!$G$12)</f>
        <v>23359.327862599999</v>
      </c>
      <c r="AN34" s="45">
        <f>(AN33+(AN33*Lüderitz_PopulationGrowthRate))+('4. Lüderitz Population Calc'!Y34*'2. Control Panel - Lüderitz'!$G$12)+Z34</f>
        <v>38674.327862600003</v>
      </c>
      <c r="AO34" s="45">
        <f>(AO33+(AO33*'2. Control Panel - Lüderitz'!$D$10))+('4. Lüderitz Population Calc'!AB34*'2. Control Panel - Lüderitz'!$G$12)</f>
        <v>58277.5278626</v>
      </c>
      <c r="AP34" s="45">
        <f>(AP33+(AP33*'2. Control Panel - Lüderitz'!$D$10))+('4. Lüderitz Population Calc'!AD34*'2. Control Panel - Lüderitz'!$G$12)+AE34</f>
        <v>38674.327862600003</v>
      </c>
      <c r="AQ34" s="45">
        <f>(AQ33+(AQ33*'2. Control Panel - Lüderitz'!$D$10))+('4. Lüderitz Population Calc'!AF34*'2. Control Panel - Lüderitz'!$G$12)</f>
        <v>58277.5278626</v>
      </c>
      <c r="AR34" s="45">
        <f>(AR33+(AR33*'2. Control Panel - Lüderitz'!$D$10))+('4. Lüderitz Population Calc'!AH34*'2. Control Panel - Lüderitz'!$G$12)+(AI34-AI33)</f>
        <v>58277.5278626</v>
      </c>
      <c r="AS34" s="45">
        <f>(AS33+(AS33*'2. Control Panel - Lüderitz'!$D$10))+('4. Lüderitz Population Calc'!AJ34*'2. Control Panel - Lüderitz'!$G$12)</f>
        <v>58277.5278626</v>
      </c>
      <c r="AU34" s="45">
        <f t="shared" si="2"/>
        <v>23359.327862599999</v>
      </c>
      <c r="AV34" s="45">
        <f t="shared" si="3"/>
        <v>23359.327862599999</v>
      </c>
      <c r="AW34" s="45">
        <f>(AW33+(AW33*'2. Control Panel - Lüderitz'!$D$10))+('4. Lüderitz Population Calc'!Y34*Resident_Job_Multiplier)</f>
        <v>23359.327862599999</v>
      </c>
      <c r="AX34" s="45">
        <f>(AX33+(AX33*Lüderitz_PopulationGrowthRate))+('4. Lüderitz Population Calc'!Y34*Resident_Job_Multiplier)+(Z34*Resident__Job_Multiplier_wO_H2_worker)</f>
        <v>49088.5278626</v>
      </c>
      <c r="AY34" s="45">
        <f>(AY33+(AY33*Lüderitz_PopulationGrowthRate))+('4. Lüderitz Population Calc'!AD34*Resident_Job_Multiplier)</f>
        <v>23359.327862599999</v>
      </c>
      <c r="AZ34" s="45">
        <f>(AZ33+(AZ33*Lüderitz_PopulationGrowthRate))+('4. Lüderitz Population Calc'!AD34*Resident_Job_Multiplier)+((AF34-AD34)*Resident__Job_Multiplier_wO_H2_worker)</f>
        <v>49088.5278626</v>
      </c>
      <c r="BA34" s="45">
        <f>(BA33+(BA33*Lüderitz_PopulationGrowthRate))+('4. Lüderitz Population Calc'!AD34*Resident_Job_Multiplier)+((AF34-AD34)*Resident__Job_Multiplier_wO_H2_worker)</f>
        <v>49088.5278626</v>
      </c>
      <c r="BB34" s="45">
        <f>(BB33+(BB33*Lüderitz_PopulationGrowthRate))+('4. Lüderitz Population Calc'!AD34*Resident_Job_Multiplier)+((AF34-AD34)*Resident__Job_Multiplier_wO_H2_worker)+((AI34-AI33)*Resident__Job_Multiplier_wO_H2_worker)</f>
        <v>49088.5278626</v>
      </c>
    </row>
    <row r="35" spans="2:54" x14ac:dyDescent="0.2">
      <c r="B35" s="44">
        <f t="shared" si="4"/>
        <v>2029</v>
      </c>
      <c r="C35" s="45">
        <f>C34+(C34*'2. Control Panel - Lüderitz'!$D$10)</f>
        <v>18473.615054177</v>
      </c>
      <c r="D35" s="37"/>
      <c r="E35" s="45">
        <f>IF(B35&lt;'3. Lüderitz Industry'!$C$12,"",IF('4. Lüderitz Population Calc'!B35&lt;'3. Lüderitz Industry'!$C$16,'3. Lüderitz Industry'!$D$15,IF('4. Lüderitz Population Calc'!B35&lt;'3. Lüderitz Industry'!$C$17,'3. Lüderitz Industry'!$D$16,'3. Lüderitz Industry'!$D$17)))</f>
        <v>200</v>
      </c>
      <c r="F35" s="45">
        <f>IF(B35&lt;'3. Lüderitz Industry'!$C$12,"",IF('4. Lüderitz Population Calc'!B35&lt;'3. Lüderitz Industry'!$C$16,'3. Lüderitz Industry'!$E$15,IF('4. Lüderitz Population Calc'!B35&lt;'3. Lüderitz Industry'!$C$17,'3. Lüderitz Industry'!$E$16,'3. Lüderitz Industry'!$E$17)))</f>
        <v>500</v>
      </c>
      <c r="G35" s="45">
        <f>IF(B35&lt;'3. Lüderitz Industry'!$C$26,"",IF(B35&lt;'3. Lüderitz Industry'!$C$27,'3. Lüderitz Industry'!$D$26,IF('4. Lüderitz Population Calc'!B35&lt;'3. Lüderitz Industry'!$C$28,'3. Lüderitz Industry'!$D$27,'3. Lüderitz Industry'!$D$28)))</f>
        <v>291.42857142857139</v>
      </c>
      <c r="H35" s="45">
        <f>IF(B35&lt;'3. Lüderitz Industry'!$C$26,"",IF(B35&lt;'3. Lüderitz Industry'!$C$27,'3. Lüderitz Industry'!$E$26,IF('4. Lüderitz Population Calc'!B35&lt;'3. Lüderitz Industry'!$C$28,'3. Lüderitz Industry'!$E$27,'3. Lüderitz Industry'!$E$28)))</f>
        <v>728.57142857142844</v>
      </c>
      <c r="I35" s="45">
        <f>IF(B35&lt;'3. Lüderitz Industry'!$C$32,"",'3. Lüderitz Industry'!$C$33)</f>
        <v>310</v>
      </c>
      <c r="J35" s="45" t="str">
        <f>IF(B35&lt;'3. Lüderitz Industry'!$C$38,"",'3. Lüderitz Industry'!$C$39)</f>
        <v/>
      </c>
      <c r="K35" s="45">
        <f>IF(B35&lt;'3. Lüderitz Industry'!$C$45,"",'3. Lüderitz Industry'!$C$46)</f>
        <v>0</v>
      </c>
      <c r="L35" s="45">
        <f>IF(B35&lt;'3. Lüderitz Industry'!$C$52,"",'3. Lüderitz Industry'!$C$53)</f>
        <v>200</v>
      </c>
      <c r="M35" s="45" t="str">
        <f>IF(B35&lt;'3. Lüderitz Industry'!$I$11,"",'3. Lüderitz Industry'!$I$12)</f>
        <v/>
      </c>
      <c r="N35" s="45">
        <f>IF(B35&lt;'3. Lüderitz Industry'!$I$17,"",'3. Lüderitz Industry'!$I$18)</f>
        <v>0</v>
      </c>
      <c r="O35" s="45">
        <f>IF(B35&lt;'3. Lüderitz Industry'!$I$23,"",'3. Lüderitz Industry'!$I$24)</f>
        <v>0</v>
      </c>
      <c r="P35" s="45">
        <f>IF(B35&lt;'3. Lüderitz Industry'!$I$29,"",'3. Lüderitz Industry'!$I$30)</f>
        <v>0</v>
      </c>
      <c r="Q35" s="45">
        <f>IF(B35&lt;'3. Lüderitz Industry'!$L$12,"",IF('4. Lüderitz Population Calc'!B35&lt;'3. Lüderitz Industry'!$L$13,'3. Lüderitz Industry'!$O$12,IF('4. Lüderitz Population Calc'!B35&lt;'3. Lüderitz Industry'!$L$14,'3. Lüderitz Industry'!$O$13,'3. Lüderitz Industry'!$O$14)))</f>
        <v>14000</v>
      </c>
      <c r="R35" s="45">
        <f>IF(B35&lt;'3. Lüderitz Industry'!$L$12,"",IF('4. Lüderitz Population Calc'!B35&lt;'3. Lüderitz Industry'!$L$13,'3. Lüderitz Industry'!$N$12,IF('4. Lüderitz Population Calc'!B35&lt;'3. Lüderitz Industry'!$L$14,'3. Lüderitz Industry'!$N$13,'3. Lüderitz Industry'!$N$14)))</f>
        <v>1000</v>
      </c>
      <c r="S35" s="45" t="str">
        <f>IF(B35&lt;'3. Lüderitz Industry'!$L$20,"",IF('4. Lüderitz Population Calc'!B35&lt;'3. Lüderitz Industry'!$L$21,'3. Lüderitz Industry'!$P$20,IF('4. Lüderitz Population Calc'!B35&lt;'3. Lüderitz Industry'!$L$22,'3. Lüderitz Industry'!$P$21,'3. Lüderitz Industry'!$P$22)))</f>
        <v/>
      </c>
      <c r="T35" s="45" t="str">
        <f>IF(B35&lt;'3. Lüderitz Industry'!$L$20,"",IF('4. Lüderitz Population Calc'!B35&lt;'3. Lüderitz Industry'!$L$21,'3. Lüderitz Industry'!$O$20,IF('4. Lüderitz Population Calc'!B35&lt;'3. Lüderitz Industry'!$L$22,'3. Lüderitz Industry'!$O$21,'3. Lüderitz Industry'!$O$22)))</f>
        <v/>
      </c>
      <c r="U35" s="37"/>
      <c r="V35" s="45">
        <f t="shared" si="17"/>
        <v>0</v>
      </c>
      <c r="W35" s="45">
        <f t="shared" si="5"/>
        <v>0</v>
      </c>
      <c r="X35" s="45">
        <f t="shared" si="6"/>
        <v>0</v>
      </c>
      <c r="Y35" s="45">
        <f t="shared" si="7"/>
        <v>0</v>
      </c>
      <c r="Z35" s="45">
        <f t="shared" si="8"/>
        <v>0</v>
      </c>
      <c r="AA35" s="45">
        <f>IF(B35&lt;'3. Lüderitz Industry'!$L$12,"0",IF('4. Lüderitz Population Calc'!B35&lt;'3. Lüderitz Industry'!$L$13,'3. Lüderitz Industry'!$M$12,IF('4. Lüderitz Population Calc'!B35&lt;'3. Lüderitz Industry'!$L$14,'3. Lüderitz Industry'!$M$13,('3. Lüderitz Industry'!$M$14+'3. Lüderitz Industry'!$M$13))))</f>
        <v>15000</v>
      </c>
      <c r="AB35" s="45">
        <f t="shared" si="9"/>
        <v>0</v>
      </c>
      <c r="AC35" s="45">
        <f t="shared" si="10"/>
        <v>0</v>
      </c>
      <c r="AD35" s="45">
        <f t="shared" si="11"/>
        <v>0</v>
      </c>
      <c r="AE35" s="45">
        <f t="shared" si="12"/>
        <v>0</v>
      </c>
      <c r="AF35" s="45">
        <f t="shared" si="13"/>
        <v>0</v>
      </c>
      <c r="AG35" s="45">
        <f t="shared" si="14"/>
        <v>0</v>
      </c>
      <c r="AH35" s="45">
        <f t="shared" si="15"/>
        <v>0</v>
      </c>
      <c r="AI35" s="48" t="str">
        <f>IF(B35&lt;'3. Lüderitz Industry'!$L$20,"0",IF('4. Lüderitz Population Calc'!B35&lt;'3. Lüderitz Industry'!$L$21,'3. Lüderitz Industry'!$O$20,IF('4. Lüderitz Population Calc'!B35&lt;'3. Lüderitz Industry'!$L$22,'3. Lüderitz Industry'!$O$21,('3. Lüderitz Industry'!$O$21+'3. Lüderitz Industry'!$O$22))))</f>
        <v>0</v>
      </c>
      <c r="AJ35" s="45">
        <f t="shared" si="16"/>
        <v>0</v>
      </c>
      <c r="AK35" s="37"/>
      <c r="AL35" s="45">
        <f>(AL34+(AL34*Lüderitz_PopulationGrowthRate))+('4. Lüderitz Population Calc'!V35*Resident_Job_Multiplier)</f>
        <v>23849.873747714599</v>
      </c>
      <c r="AM35" s="45">
        <f>(AM34+(AM34*Lüderitz_PopulationGrowthRate))+('4. Lüderitz Population Calc'!W35*'2. Control Panel - Lüderitz'!$G$12)</f>
        <v>23849.873747714599</v>
      </c>
      <c r="AN35" s="45">
        <f>(AN34+(AN34*Lüderitz_PopulationGrowthRate))+('4. Lüderitz Population Calc'!Y35*'2. Control Panel - Lüderitz'!$G$12)+Z35</f>
        <v>39486.488747714604</v>
      </c>
      <c r="AO35" s="45">
        <f>(AO34+(AO34*'2. Control Panel - Lüderitz'!$D$10))+('4. Lüderitz Population Calc'!AB35*'2. Control Panel - Lüderitz'!$G$12)</f>
        <v>59501.355947714597</v>
      </c>
      <c r="AP35" s="45">
        <f>(AP34+(AP34*'2. Control Panel - Lüderitz'!$D$10))+('4. Lüderitz Population Calc'!AD35*'2. Control Panel - Lüderitz'!$G$12)+AE35</f>
        <v>39486.488747714604</v>
      </c>
      <c r="AQ35" s="45">
        <f>(AQ34+(AQ34*'2. Control Panel - Lüderitz'!$D$10))+('4. Lüderitz Population Calc'!AF35*'2. Control Panel - Lüderitz'!$G$12)</f>
        <v>59501.355947714597</v>
      </c>
      <c r="AR35" s="45">
        <f>(AR34+(AR34*'2. Control Panel - Lüderitz'!$D$10))+('4. Lüderitz Population Calc'!AH35*'2. Control Panel - Lüderitz'!$G$12)+(AI35-AI34)</f>
        <v>59501.355947714597</v>
      </c>
      <c r="AS35" s="45">
        <f>(AS34+(AS34*'2. Control Panel - Lüderitz'!$D$10))+('4. Lüderitz Population Calc'!AJ35*'2. Control Panel - Lüderitz'!$G$12)</f>
        <v>59501.355947714597</v>
      </c>
      <c r="AU35" s="45">
        <f t="shared" si="2"/>
        <v>23849.873747714599</v>
      </c>
      <c r="AV35" s="45">
        <f t="shared" si="3"/>
        <v>23849.873747714599</v>
      </c>
      <c r="AW35" s="45">
        <f>(AW34+(AW34*'2. Control Panel - Lüderitz'!$D$10))+('4. Lüderitz Population Calc'!Y35*Resident_Job_Multiplier)</f>
        <v>23849.873747714599</v>
      </c>
      <c r="AX35" s="45">
        <f>(AX34+(AX34*Lüderitz_PopulationGrowthRate))+('4. Lüderitz Population Calc'!Y35*Resident_Job_Multiplier)+(Z35*Resident__Job_Multiplier_wO_H2_worker)</f>
        <v>50119.3869477146</v>
      </c>
      <c r="AY35" s="45">
        <f>(AY34+(AY34*Lüderitz_PopulationGrowthRate))+('4. Lüderitz Population Calc'!AD35*Resident_Job_Multiplier)</f>
        <v>23849.873747714599</v>
      </c>
      <c r="AZ35" s="45">
        <f>(AZ34+(AZ34*Lüderitz_PopulationGrowthRate))+('4. Lüderitz Population Calc'!AD35*Resident_Job_Multiplier)+((AF35-AD35)*Resident__Job_Multiplier_wO_H2_worker)</f>
        <v>50119.3869477146</v>
      </c>
      <c r="BA35" s="45">
        <f>(BA34+(BA34*Lüderitz_PopulationGrowthRate))+('4. Lüderitz Population Calc'!AD35*Resident_Job_Multiplier)+((AF35-AD35)*Resident__Job_Multiplier_wO_H2_worker)</f>
        <v>50119.3869477146</v>
      </c>
      <c r="BB35" s="45">
        <f>(BB34+(BB34*Lüderitz_PopulationGrowthRate))+('4. Lüderitz Population Calc'!AD35*Resident_Job_Multiplier)+((AF35-AD35)*Resident__Job_Multiplier_wO_H2_worker)+((AI35-AI34)*Resident__Job_Multiplier_wO_H2_worker)</f>
        <v>50119.3869477146</v>
      </c>
    </row>
    <row r="36" spans="2:54" x14ac:dyDescent="0.2">
      <c r="B36" s="44">
        <f t="shared" si="4"/>
        <v>2030</v>
      </c>
      <c r="C36" s="45">
        <f>C35+(C35*'2. Control Panel - Lüderitz'!$D$10)</f>
        <v>18861.560970314717</v>
      </c>
      <c r="D36" s="37"/>
      <c r="E36" s="45">
        <f>IF(B36&lt;'3. Lüderitz Industry'!$C$12,"",IF('4. Lüderitz Population Calc'!B36&lt;'3. Lüderitz Industry'!$C$16,'3. Lüderitz Industry'!$D$15,IF('4. Lüderitz Population Calc'!B36&lt;'3. Lüderitz Industry'!$C$17,'3. Lüderitz Industry'!$D$16,'3. Lüderitz Industry'!$D$17)))</f>
        <v>200</v>
      </c>
      <c r="F36" s="45">
        <f>IF(B36&lt;'3. Lüderitz Industry'!$C$12,"",IF('4. Lüderitz Population Calc'!B36&lt;'3. Lüderitz Industry'!$C$16,'3. Lüderitz Industry'!$E$15,IF('4. Lüderitz Population Calc'!B36&lt;'3. Lüderitz Industry'!$C$17,'3. Lüderitz Industry'!$E$16,'3. Lüderitz Industry'!$E$17)))</f>
        <v>500</v>
      </c>
      <c r="G36" s="45">
        <f>IF(B36&lt;'3. Lüderitz Industry'!$C$26,"",IF(B36&lt;'3. Lüderitz Industry'!$C$27,'3. Lüderitz Industry'!$D$26,IF('4. Lüderitz Population Calc'!B36&lt;'3. Lüderitz Industry'!$C$28,'3. Lüderitz Industry'!$D$27,'3. Lüderitz Industry'!$D$28)))</f>
        <v>291.42857142857139</v>
      </c>
      <c r="H36" s="45">
        <f>IF(B36&lt;'3. Lüderitz Industry'!$C$26,"",IF(B36&lt;'3. Lüderitz Industry'!$C$27,'3. Lüderitz Industry'!$E$26,IF('4. Lüderitz Population Calc'!B36&lt;'3. Lüderitz Industry'!$C$28,'3. Lüderitz Industry'!$E$27,'3. Lüderitz Industry'!$E$28)))</f>
        <v>728.57142857142844</v>
      </c>
      <c r="I36" s="45">
        <f>IF(B36&lt;'3. Lüderitz Industry'!$C$32,"",'3. Lüderitz Industry'!$C$33)</f>
        <v>310</v>
      </c>
      <c r="J36" s="45">
        <f>IF(B36&lt;'3. Lüderitz Industry'!$C$38,"",'3. Lüderitz Industry'!$C$39)</f>
        <v>50</v>
      </c>
      <c r="K36" s="45">
        <f>IF(B36&lt;'3. Lüderitz Industry'!$C$45,"",'3. Lüderitz Industry'!$C$46)</f>
        <v>0</v>
      </c>
      <c r="L36" s="45">
        <f>IF(B36&lt;'3. Lüderitz Industry'!$C$52,"",'3. Lüderitz Industry'!$C$53)</f>
        <v>200</v>
      </c>
      <c r="M36" s="45">
        <f>IF(B36&lt;'3. Lüderitz Industry'!$I$11,"",'3. Lüderitz Industry'!$I$12)</f>
        <v>7000</v>
      </c>
      <c r="N36" s="45">
        <f>IF(B36&lt;'3. Lüderitz Industry'!$I$17,"",'3. Lüderitz Industry'!$I$18)</f>
        <v>0</v>
      </c>
      <c r="O36" s="45">
        <f>IF(B36&lt;'3. Lüderitz Industry'!$I$23,"",'3. Lüderitz Industry'!$I$24)</f>
        <v>0</v>
      </c>
      <c r="P36" s="45">
        <f>IF(B36&lt;'3. Lüderitz Industry'!$I$29,"",'3. Lüderitz Industry'!$I$30)</f>
        <v>0</v>
      </c>
      <c r="Q36" s="45">
        <f>IF(B36&lt;'3. Lüderitz Industry'!$L$12,"",IF('4. Lüderitz Population Calc'!B36&lt;'3. Lüderitz Industry'!$L$13,'3. Lüderitz Industry'!$O$12,IF('4. Lüderitz Population Calc'!B36&lt;'3. Lüderitz Industry'!$L$14,'3. Lüderitz Industry'!$O$13,'3. Lüderitz Industry'!$O$14)))</f>
        <v>14000</v>
      </c>
      <c r="R36" s="45">
        <f>IF(B36&lt;'3. Lüderitz Industry'!$L$12,"",IF('4. Lüderitz Population Calc'!B36&lt;'3. Lüderitz Industry'!$L$13,'3. Lüderitz Industry'!$N$12,IF('4. Lüderitz Population Calc'!B36&lt;'3. Lüderitz Industry'!$L$14,'3. Lüderitz Industry'!$N$13,'3. Lüderitz Industry'!$N$14)))</f>
        <v>1000</v>
      </c>
      <c r="S36" s="45" t="str">
        <f>IF(B36&lt;'3. Lüderitz Industry'!$L$20,"",IF('4. Lüderitz Population Calc'!B36&lt;'3. Lüderitz Industry'!$L$21,'3. Lüderitz Industry'!$P$20,IF('4. Lüderitz Population Calc'!B36&lt;'3. Lüderitz Industry'!$L$22,'3. Lüderitz Industry'!$P$21,'3. Lüderitz Industry'!$P$22)))</f>
        <v/>
      </c>
      <c r="T36" s="45" t="str">
        <f>IF(B36&lt;'3. Lüderitz Industry'!$L$20,"",IF('4. Lüderitz Population Calc'!B36&lt;'3. Lüderitz Industry'!$L$21,'3. Lüderitz Industry'!$O$20,IF('4. Lüderitz Population Calc'!B36&lt;'3. Lüderitz Industry'!$L$22,'3. Lüderitz Industry'!$O$21,'3. Lüderitz Industry'!$O$22)))</f>
        <v/>
      </c>
      <c r="U36" s="37"/>
      <c r="V36" s="45">
        <f t="shared" si="17"/>
        <v>50</v>
      </c>
      <c r="W36" s="45">
        <f t="shared" si="5"/>
        <v>7050</v>
      </c>
      <c r="X36" s="45">
        <f t="shared" si="6"/>
        <v>50</v>
      </c>
      <c r="Y36" s="45">
        <f t="shared" si="7"/>
        <v>50</v>
      </c>
      <c r="Z36" s="45">
        <f t="shared" si="8"/>
        <v>0</v>
      </c>
      <c r="AA36" s="45">
        <f>IF(B36&lt;'3. Lüderitz Industry'!$L$12,"0",IF('4. Lüderitz Population Calc'!B36&lt;'3. Lüderitz Industry'!$L$13,'3. Lüderitz Industry'!$M$12,IF('4. Lüderitz Population Calc'!B36&lt;'3. Lüderitz Industry'!$L$14,'3. Lüderitz Industry'!$M$13,('3. Lüderitz Industry'!$M$14+'3. Lüderitz Industry'!$M$13))))</f>
        <v>15000</v>
      </c>
      <c r="AB36" s="45">
        <f t="shared" si="9"/>
        <v>50</v>
      </c>
      <c r="AC36" s="45">
        <f t="shared" si="10"/>
        <v>7050</v>
      </c>
      <c r="AD36" s="45">
        <f t="shared" si="11"/>
        <v>7050</v>
      </c>
      <c r="AE36" s="45">
        <f t="shared" si="12"/>
        <v>0</v>
      </c>
      <c r="AF36" s="45">
        <f t="shared" si="13"/>
        <v>7050</v>
      </c>
      <c r="AG36" s="45">
        <f t="shared" si="14"/>
        <v>7050</v>
      </c>
      <c r="AH36" s="45">
        <f t="shared" si="15"/>
        <v>7050</v>
      </c>
      <c r="AI36" s="48" t="str">
        <f>IF(B36&lt;'3. Lüderitz Industry'!$L$20,"0",IF('4. Lüderitz Population Calc'!B36&lt;'3. Lüderitz Industry'!$L$21,'3. Lüderitz Industry'!$O$20,IF('4. Lüderitz Population Calc'!B36&lt;'3. Lüderitz Industry'!$L$22,'3. Lüderitz Industry'!$O$21,('3. Lüderitz Industry'!$O$21+'3. Lüderitz Industry'!$O$22))))</f>
        <v>0</v>
      </c>
      <c r="AJ36" s="45">
        <f t="shared" si="16"/>
        <v>7050</v>
      </c>
      <c r="AK36" s="37"/>
      <c r="AL36" s="45">
        <f>(AL35+(AL35*Lüderitz_PopulationGrowthRate))+('4. Lüderitz Population Calc'!V36*Resident_Job_Multiplier)</f>
        <v>24464.721096416604</v>
      </c>
      <c r="AM36" s="45">
        <f>(AM35+(AM35*Lüderitz_PopulationGrowthRate))+('4. Lüderitz Population Calc'!W36*'2. Control Panel - Lüderitz'!$G$12)</f>
        <v>40424.721096416601</v>
      </c>
      <c r="AN36" s="45">
        <f>(AN35+(AN35*Lüderitz_PopulationGrowthRate))+('4. Lüderitz Population Calc'!Y36*'2. Control Panel - Lüderitz'!$G$12)+Z36</f>
        <v>40429.705011416612</v>
      </c>
      <c r="AO36" s="45">
        <f>(AO35+(AO35*'2. Control Panel - Lüderitz'!$D$10))+('4. Lüderitz Population Calc'!AB36*'2. Control Panel - Lüderitz'!$G$12)</f>
        <v>60864.884422616604</v>
      </c>
      <c r="AP36" s="45">
        <f>(AP35+(AP35*'2. Control Panel - Lüderitz'!$D$10))+('4. Lüderitz Population Calc'!AD36*'2. Control Panel - Lüderitz'!$G$12)+AE36</f>
        <v>56389.705011416612</v>
      </c>
      <c r="AQ36" s="45">
        <f>(AQ35+(AQ35*'2. Control Panel - Lüderitz'!$D$10))+('4. Lüderitz Population Calc'!AF36*'2. Control Panel - Lüderitz'!$G$12)</f>
        <v>76824.884422616597</v>
      </c>
      <c r="AR36" s="45">
        <f>(AR35+(AR35*'2. Control Panel - Lüderitz'!$D$10))+('4. Lüderitz Population Calc'!AH36*'2. Control Panel - Lüderitz'!$G$12)+(AI36-AI35)</f>
        <v>76824.884422616597</v>
      </c>
      <c r="AS36" s="45">
        <f>(AS35+(AS35*'2. Control Panel - Lüderitz'!$D$10))+('4. Lüderitz Population Calc'!AJ36*'2. Control Panel - Lüderitz'!$G$12)</f>
        <v>76824.884422616597</v>
      </c>
      <c r="AU36" s="45">
        <f t="shared" si="2"/>
        <v>24464.721096416604</v>
      </c>
      <c r="AV36" s="45">
        <f t="shared" si="3"/>
        <v>40424.721096416601</v>
      </c>
      <c r="AW36" s="45">
        <f>(AW35+(AW35*'2. Control Panel - Lüderitz'!$D$10))+('4. Lüderitz Population Calc'!Y36*Resident_Job_Multiplier)</f>
        <v>24464.721096416604</v>
      </c>
      <c r="AX36" s="45">
        <f>(AX35+(AX35*Lüderitz_PopulationGrowthRate))+('4. Lüderitz Population Calc'!Y36*Resident_Job_Multiplier)+(Z36*Resident__Job_Multiplier_wO_H2_worker)</f>
        <v>51285.894073616604</v>
      </c>
      <c r="AY36" s="45">
        <f>(AY35+(AY35*Lüderitz_PopulationGrowthRate))+('4. Lüderitz Population Calc'!AD36*Resident_Job_Multiplier)</f>
        <v>40424.721096416601</v>
      </c>
      <c r="AZ36" s="45">
        <f>(AZ35+(AZ35*Lüderitz_PopulationGrowthRate))+('4. Lüderitz Population Calc'!AD36*Resident_Job_Multiplier)+((AF36-AD36)*Resident__Job_Multiplier_wO_H2_worker)</f>
        <v>67245.894073616597</v>
      </c>
      <c r="BA36" s="45">
        <f>(BA35+(BA35*Lüderitz_PopulationGrowthRate))+('4. Lüderitz Population Calc'!AD36*Resident_Job_Multiplier)+((AF36-AD36)*Resident__Job_Multiplier_wO_H2_worker)</f>
        <v>67245.894073616597</v>
      </c>
      <c r="BB36" s="45">
        <f>(BB35+(BB35*Lüderitz_PopulationGrowthRate))+('4. Lüderitz Population Calc'!AD36*Resident_Job_Multiplier)+((AF36-AD36)*Resident__Job_Multiplier_wO_H2_worker)+((AI36-AI35)*Resident__Job_Multiplier_wO_H2_worker)</f>
        <v>67245.894073616597</v>
      </c>
    </row>
    <row r="37" spans="2:54" x14ac:dyDescent="0.2">
      <c r="B37" s="44">
        <f t="shared" si="4"/>
        <v>2031</v>
      </c>
      <c r="C37" s="45">
        <f>C36+(C36*'2. Control Panel - Lüderitz'!$D$10)</f>
        <v>19257.653750691326</v>
      </c>
      <c r="D37" s="37"/>
      <c r="E37" s="45">
        <f>IF(B37&lt;'3. Lüderitz Industry'!$C$12,"",IF('4. Lüderitz Population Calc'!B37&lt;'3. Lüderitz Industry'!$C$16,'3. Lüderitz Industry'!$D$15,IF('4. Lüderitz Population Calc'!B37&lt;'3. Lüderitz Industry'!$C$17,'3. Lüderitz Industry'!$D$16,'3. Lüderitz Industry'!$D$17)))</f>
        <v>400</v>
      </c>
      <c r="F37" s="45">
        <f>IF(B37&lt;'3. Lüderitz Industry'!$C$12,"",IF('4. Lüderitz Population Calc'!B37&lt;'3. Lüderitz Industry'!$C$16,'3. Lüderitz Industry'!$E$15,IF('4. Lüderitz Population Calc'!B37&lt;'3. Lüderitz Industry'!$C$17,'3. Lüderitz Industry'!$E$16,'3. Lüderitz Industry'!$E$17)))</f>
        <v>1000</v>
      </c>
      <c r="G37" s="45">
        <f>IF(B37&lt;'3. Lüderitz Industry'!$C$26,"",IF(B37&lt;'3. Lüderitz Industry'!$C$27,'3. Lüderitz Industry'!$D$26,IF('4. Lüderitz Population Calc'!B37&lt;'3. Lüderitz Industry'!$C$28,'3. Lüderitz Industry'!$D$27,'3. Lüderitz Industry'!$D$28)))</f>
        <v>582.85714285714278</v>
      </c>
      <c r="H37" s="45">
        <f>IF(B37&lt;'3. Lüderitz Industry'!$C$26,"",IF(B37&lt;'3. Lüderitz Industry'!$C$27,'3. Lüderitz Industry'!$E$26,IF('4. Lüderitz Population Calc'!B37&lt;'3. Lüderitz Industry'!$C$28,'3. Lüderitz Industry'!$E$27,'3. Lüderitz Industry'!$E$28)))</f>
        <v>1457.1428571428569</v>
      </c>
      <c r="I37" s="45">
        <f>IF(B37&lt;'3. Lüderitz Industry'!$C$32,"",'3. Lüderitz Industry'!$C$33)</f>
        <v>310</v>
      </c>
      <c r="J37" s="45">
        <f>IF(B37&lt;'3. Lüderitz Industry'!$C$38,"",'3. Lüderitz Industry'!$C$39)</f>
        <v>50</v>
      </c>
      <c r="K37" s="45">
        <f>IF(B37&lt;'3. Lüderitz Industry'!$C$45,"",'3. Lüderitz Industry'!$C$46)</f>
        <v>0</v>
      </c>
      <c r="L37" s="45">
        <f>IF(B37&lt;'3. Lüderitz Industry'!$C$52,"",'3. Lüderitz Industry'!$C$53)</f>
        <v>200</v>
      </c>
      <c r="M37" s="45">
        <f>IF(B37&lt;'3. Lüderitz Industry'!$I$11,"",'3. Lüderitz Industry'!$I$12)</f>
        <v>7000</v>
      </c>
      <c r="N37" s="45">
        <f>IF(B37&lt;'3. Lüderitz Industry'!$I$17,"",'3. Lüderitz Industry'!$I$18)</f>
        <v>0</v>
      </c>
      <c r="O37" s="45">
        <f>IF(B37&lt;'3. Lüderitz Industry'!$I$23,"",'3. Lüderitz Industry'!$I$24)</f>
        <v>0</v>
      </c>
      <c r="P37" s="45">
        <f>IF(B37&lt;'3. Lüderitz Industry'!$I$29,"",'3. Lüderitz Industry'!$I$30)</f>
        <v>0</v>
      </c>
      <c r="Q37" s="45">
        <f>IF(B37&lt;'3. Lüderitz Industry'!$L$12,"",IF('4. Lüderitz Population Calc'!B37&lt;'3. Lüderitz Industry'!$L$13,'3. Lüderitz Industry'!$O$12,IF('4. Lüderitz Population Calc'!B37&lt;'3. Lüderitz Industry'!$L$14,'3. Lüderitz Industry'!$O$13,'3. Lüderitz Industry'!$O$14)))</f>
        <v>14000</v>
      </c>
      <c r="R37" s="45">
        <f>IF(B37&lt;'3. Lüderitz Industry'!$L$12,"",IF('4. Lüderitz Population Calc'!B37&lt;'3. Lüderitz Industry'!$L$13,'3. Lüderitz Industry'!$N$12,IF('4. Lüderitz Population Calc'!B37&lt;'3. Lüderitz Industry'!$L$14,'3. Lüderitz Industry'!$N$13,'3. Lüderitz Industry'!$N$14)))</f>
        <v>1000</v>
      </c>
      <c r="S37" s="45" t="str">
        <f>IF(B37&lt;'3. Lüderitz Industry'!$L$20,"",IF('4. Lüderitz Population Calc'!B37&lt;'3. Lüderitz Industry'!$L$21,'3. Lüderitz Industry'!$P$20,IF('4. Lüderitz Population Calc'!B37&lt;'3. Lüderitz Industry'!$L$22,'3. Lüderitz Industry'!$P$21,'3. Lüderitz Industry'!$P$22)))</f>
        <v/>
      </c>
      <c r="T37" s="45" t="str">
        <f>IF(B37&lt;'3. Lüderitz Industry'!$L$20,"",IF('4. Lüderitz Population Calc'!B37&lt;'3. Lüderitz Industry'!$L$21,'3. Lüderitz Industry'!$O$20,IF('4. Lüderitz Population Calc'!B37&lt;'3. Lüderitz Industry'!$L$22,'3. Lüderitz Industry'!$O$21,'3. Lüderitz Industry'!$O$22)))</f>
        <v/>
      </c>
      <c r="U37" s="37"/>
      <c r="V37" s="45">
        <f t="shared" si="17"/>
        <v>1719.9999999999995</v>
      </c>
      <c r="W37" s="45">
        <f t="shared" si="5"/>
        <v>1720</v>
      </c>
      <c r="X37" s="45">
        <f t="shared" si="6"/>
        <v>1720</v>
      </c>
      <c r="Y37" s="45">
        <f t="shared" si="7"/>
        <v>1720</v>
      </c>
      <c r="Z37" s="45">
        <f t="shared" si="8"/>
        <v>0</v>
      </c>
      <c r="AA37" s="45">
        <f>IF(B37&lt;'3. Lüderitz Industry'!$L$12,"0",IF('4. Lüderitz Population Calc'!B37&lt;'3. Lüderitz Industry'!$L$13,'3. Lüderitz Industry'!$M$12,IF('4. Lüderitz Population Calc'!B37&lt;'3. Lüderitz Industry'!$L$14,'3. Lüderitz Industry'!$M$13,('3. Lüderitz Industry'!$M$14+'3. Lüderitz Industry'!$M$13))))</f>
        <v>15000</v>
      </c>
      <c r="AB37" s="45">
        <f t="shared" si="9"/>
        <v>1720</v>
      </c>
      <c r="AC37" s="45">
        <f t="shared" si="10"/>
        <v>1720</v>
      </c>
      <c r="AD37" s="45">
        <f t="shared" si="11"/>
        <v>1720</v>
      </c>
      <c r="AE37" s="45">
        <f t="shared" si="12"/>
        <v>0</v>
      </c>
      <c r="AF37" s="45">
        <f t="shared" si="13"/>
        <v>1720</v>
      </c>
      <c r="AG37" s="45">
        <f t="shared" si="14"/>
        <v>1720</v>
      </c>
      <c r="AH37" s="45">
        <f t="shared" si="15"/>
        <v>1720</v>
      </c>
      <c r="AI37" s="48" t="str">
        <f>IF(B37&lt;'3. Lüderitz Industry'!$L$20,"0",IF('4. Lüderitz Population Calc'!B37&lt;'3. Lüderitz Industry'!$L$21,'3. Lüderitz Industry'!$O$20,IF('4. Lüderitz Population Calc'!B37&lt;'3. Lüderitz Industry'!$L$22,'3. Lüderitz Industry'!$O$21,('3. Lüderitz Industry'!$O$21+'3. Lüderitz Industry'!$O$22))))</f>
        <v>0</v>
      </c>
      <c r="AJ37" s="45">
        <f t="shared" si="16"/>
        <v>1720</v>
      </c>
      <c r="AK37" s="37"/>
      <c r="AL37" s="45">
        <f>(AL36+(AL36*Lüderitz_PopulationGrowthRate))+('4. Lüderitz Population Calc'!V37*Resident_Job_Multiplier)</f>
        <v>28900.080239441351</v>
      </c>
      <c r="AM37" s="45">
        <f>(AM36+(AM36*Lüderitz_PopulationGrowthRate))+('4. Lüderitz Population Calc'!W37*'2. Control Panel - Lüderitz'!$G$12)</f>
        <v>45195.240239441351</v>
      </c>
      <c r="AN37" s="45">
        <f>(AN36+(AN36*Lüderitz_PopulationGrowthRate))+('4. Lüderitz Population Calc'!Y37*'2. Control Panel - Lüderitz'!$G$12)+Z37</f>
        <v>45200.328816656358</v>
      </c>
      <c r="AO37" s="45">
        <f>(AO36+(AO36*'2. Control Panel - Lüderitz'!$D$10))+('4. Lüderitz Population Calc'!AB37*'2. Control Panel - Lüderitz'!$G$12)</f>
        <v>66064.646995491552</v>
      </c>
      <c r="AP37" s="45">
        <f>(AP36+(AP36*'2. Control Panel - Lüderitz'!$D$10))+('4. Lüderitz Population Calc'!AD37*'2. Control Panel - Lüderitz'!$G$12)+AE37</f>
        <v>61495.488816656361</v>
      </c>
      <c r="AQ37" s="45">
        <f>(AQ36+(AQ36*'2. Control Panel - Lüderitz'!$D$10))+('4. Lüderitz Population Calc'!AF37*'2. Control Panel - Lüderitz'!$G$12)</f>
        <v>82359.806995491555</v>
      </c>
      <c r="AR37" s="45">
        <f>(AR36+(AR36*'2. Control Panel - Lüderitz'!$D$10))+('4. Lüderitz Population Calc'!AH37*'2. Control Panel - Lüderitz'!$G$12)+(AI37-AI36)</f>
        <v>82359.806995491555</v>
      </c>
      <c r="AS37" s="45">
        <f>(AS36+(AS36*'2. Control Panel - Lüderitz'!$D$10))+('4. Lüderitz Population Calc'!AJ37*'2. Control Panel - Lüderitz'!$G$12)</f>
        <v>82359.806995491555</v>
      </c>
      <c r="AU37" s="45">
        <f t="shared" si="2"/>
        <v>28900.080239441351</v>
      </c>
      <c r="AV37" s="45">
        <f t="shared" si="3"/>
        <v>45195.240239441351</v>
      </c>
      <c r="AW37" s="45">
        <f>(AW36+(AW36*'2. Control Panel - Lüderitz'!$D$10))+('4. Lüderitz Population Calc'!Y37*Resident_Job_Multiplier)</f>
        <v>28900.080239441351</v>
      </c>
      <c r="AX37" s="45">
        <f>(AX36+(AX36*Lüderitz_PopulationGrowthRate))+('4. Lüderitz Population Calc'!Y37*Resident_Job_Multiplier)+(Z37*Resident__Job_Multiplier_wO_H2_worker)</f>
        <v>56284.497849162552</v>
      </c>
      <c r="AY37" s="45">
        <f>(AY36+(AY36*Lüderitz_PopulationGrowthRate))+('4. Lüderitz Population Calc'!AD37*Resident_Job_Multiplier)</f>
        <v>45195.240239441351</v>
      </c>
      <c r="AZ37" s="45">
        <f>(AZ36+(AZ36*Lüderitz_PopulationGrowthRate))+('4. Lüderitz Population Calc'!AD37*Resident_Job_Multiplier)+((AF37-AD37)*Resident__Job_Multiplier_wO_H2_worker)</f>
        <v>72579.657849162555</v>
      </c>
      <c r="BA37" s="45">
        <f>(BA36+(BA36*Lüderitz_PopulationGrowthRate))+('4. Lüderitz Population Calc'!AD37*Resident_Job_Multiplier)+((AF37-AD37)*Resident__Job_Multiplier_wO_H2_worker)</f>
        <v>72579.657849162555</v>
      </c>
      <c r="BB37" s="45">
        <f>(BB36+(BB36*Lüderitz_PopulationGrowthRate))+('4. Lüderitz Population Calc'!AD37*Resident_Job_Multiplier)+((AF37-AD37)*Resident__Job_Multiplier_wO_H2_worker)+((AI37-AI36)*Resident__Job_Multiplier_wO_H2_worker)</f>
        <v>72579.657849162555</v>
      </c>
    </row>
    <row r="38" spans="2:54" x14ac:dyDescent="0.2">
      <c r="B38" s="44">
        <f t="shared" si="4"/>
        <v>2032</v>
      </c>
      <c r="C38" s="45">
        <f>C37+(C37*'2. Control Panel - Lüderitz'!$D$10)</f>
        <v>19662.064479455843</v>
      </c>
      <c r="D38" s="37"/>
      <c r="E38" s="45">
        <f>IF(B38&lt;'3. Lüderitz Industry'!$C$12,"",IF('4. Lüderitz Population Calc'!B38&lt;'3. Lüderitz Industry'!$C$16,'3. Lüderitz Industry'!$D$15,IF('4. Lüderitz Population Calc'!B38&lt;'3. Lüderitz Industry'!$C$17,'3. Lüderitz Industry'!$D$16,'3. Lüderitz Industry'!$D$17)))</f>
        <v>400</v>
      </c>
      <c r="F38" s="45">
        <f>IF(B38&lt;'3. Lüderitz Industry'!$C$12,"",IF('4. Lüderitz Population Calc'!B38&lt;'3. Lüderitz Industry'!$C$16,'3. Lüderitz Industry'!$E$15,IF('4. Lüderitz Population Calc'!B38&lt;'3. Lüderitz Industry'!$C$17,'3. Lüderitz Industry'!$E$16,'3. Lüderitz Industry'!$E$17)))</f>
        <v>1000</v>
      </c>
      <c r="G38" s="45">
        <f>IF(B38&lt;'3. Lüderitz Industry'!$C$26,"",IF(B38&lt;'3. Lüderitz Industry'!$C$27,'3. Lüderitz Industry'!$D$26,IF('4. Lüderitz Population Calc'!B38&lt;'3. Lüderitz Industry'!$C$28,'3. Lüderitz Industry'!$D$27,'3. Lüderitz Industry'!$D$28)))</f>
        <v>582.85714285714278</v>
      </c>
      <c r="H38" s="45">
        <f>IF(B38&lt;'3. Lüderitz Industry'!$C$26,"",IF(B38&lt;'3. Lüderitz Industry'!$C$27,'3. Lüderitz Industry'!$E$26,IF('4. Lüderitz Population Calc'!B38&lt;'3. Lüderitz Industry'!$C$28,'3. Lüderitz Industry'!$E$27,'3. Lüderitz Industry'!$E$28)))</f>
        <v>1457.1428571428569</v>
      </c>
      <c r="I38" s="45">
        <f>IF(B38&lt;'3. Lüderitz Industry'!$C$32,"",'3. Lüderitz Industry'!$C$33)</f>
        <v>310</v>
      </c>
      <c r="J38" s="45">
        <f>IF(B38&lt;'3. Lüderitz Industry'!$C$38,"",'3. Lüderitz Industry'!$C$39)</f>
        <v>50</v>
      </c>
      <c r="K38" s="45">
        <f>IF(B38&lt;'3. Lüderitz Industry'!$C$45,"",'3. Lüderitz Industry'!$C$46)</f>
        <v>0</v>
      </c>
      <c r="L38" s="45">
        <f>IF(B38&lt;'3. Lüderitz Industry'!$C$52,"",'3. Lüderitz Industry'!$C$53)</f>
        <v>200</v>
      </c>
      <c r="M38" s="45">
        <f>IF(B38&lt;'3. Lüderitz Industry'!$I$11,"",'3. Lüderitz Industry'!$I$12)</f>
        <v>7000</v>
      </c>
      <c r="N38" s="45">
        <f>IF(B38&lt;'3. Lüderitz Industry'!$I$17,"",'3. Lüderitz Industry'!$I$18)</f>
        <v>0</v>
      </c>
      <c r="O38" s="45">
        <f>IF(B38&lt;'3. Lüderitz Industry'!$I$23,"",'3. Lüderitz Industry'!$I$24)</f>
        <v>0</v>
      </c>
      <c r="P38" s="45">
        <f>IF(B38&lt;'3. Lüderitz Industry'!$I$29,"",'3. Lüderitz Industry'!$I$30)</f>
        <v>0</v>
      </c>
      <c r="Q38" s="45">
        <f>IF(B38&lt;'3. Lüderitz Industry'!$L$12,"",IF('4. Lüderitz Population Calc'!B38&lt;'3. Lüderitz Industry'!$L$13,'3. Lüderitz Industry'!$O$12,IF('4. Lüderitz Population Calc'!B38&lt;'3. Lüderitz Industry'!$L$14,'3. Lüderitz Industry'!$O$13,'3. Lüderitz Industry'!$O$14)))</f>
        <v>14000</v>
      </c>
      <c r="R38" s="45">
        <f>IF(B38&lt;'3. Lüderitz Industry'!$L$12,"",IF('4. Lüderitz Population Calc'!B38&lt;'3. Lüderitz Industry'!$L$13,'3. Lüderitz Industry'!$N$12,IF('4. Lüderitz Population Calc'!B38&lt;'3. Lüderitz Industry'!$L$14,'3. Lüderitz Industry'!$N$13,'3. Lüderitz Industry'!$N$14)))</f>
        <v>1000</v>
      </c>
      <c r="S38" s="45" t="str">
        <f>IF(B38&lt;'3. Lüderitz Industry'!$L$20,"",IF('4. Lüderitz Population Calc'!B38&lt;'3. Lüderitz Industry'!$L$21,'3. Lüderitz Industry'!$P$20,IF('4. Lüderitz Population Calc'!B38&lt;'3. Lüderitz Industry'!$L$22,'3. Lüderitz Industry'!$P$21,'3. Lüderitz Industry'!$P$22)))</f>
        <v/>
      </c>
      <c r="T38" s="45" t="str">
        <f>IF(B38&lt;'3. Lüderitz Industry'!$L$20,"",IF('4. Lüderitz Population Calc'!B38&lt;'3. Lüderitz Industry'!$L$21,'3. Lüderitz Industry'!$O$20,IF('4. Lüderitz Population Calc'!B38&lt;'3. Lüderitz Industry'!$L$22,'3. Lüderitz Industry'!$O$21,'3. Lüderitz Industry'!$O$22)))</f>
        <v/>
      </c>
      <c r="U38" s="37"/>
      <c r="V38" s="45">
        <f t="shared" si="17"/>
        <v>0</v>
      </c>
      <c r="W38" s="45">
        <f t="shared" si="5"/>
        <v>0</v>
      </c>
      <c r="X38" s="45">
        <f t="shared" si="6"/>
        <v>0</v>
      </c>
      <c r="Y38" s="45">
        <f>MAX(X38-(SUM(Q38:R38)-SUM(Q37:R37)),0)</f>
        <v>0</v>
      </c>
      <c r="Z38" s="45">
        <f t="shared" si="8"/>
        <v>0</v>
      </c>
      <c r="AA38" s="45">
        <f>IF(B38&lt;'3. Lüderitz Industry'!$L$12,"0",IF('4. Lüderitz Population Calc'!B38&lt;'3. Lüderitz Industry'!$L$13,'3. Lüderitz Industry'!$M$12,IF('4. Lüderitz Population Calc'!B38&lt;'3. Lüderitz Industry'!$L$14,'3. Lüderitz Industry'!$M$13,('3. Lüderitz Industry'!$M$14+'3. Lüderitz Industry'!$M$13))))</f>
        <v>15000</v>
      </c>
      <c r="AB38" s="45">
        <f t="shared" si="9"/>
        <v>0</v>
      </c>
      <c r="AC38" s="45">
        <f t="shared" si="10"/>
        <v>0</v>
      </c>
      <c r="AD38" s="45">
        <f t="shared" si="11"/>
        <v>0</v>
      </c>
      <c r="AE38" s="45">
        <f t="shared" si="12"/>
        <v>0</v>
      </c>
      <c r="AF38" s="45">
        <f t="shared" si="13"/>
        <v>0</v>
      </c>
      <c r="AG38" s="45">
        <f t="shared" si="14"/>
        <v>0</v>
      </c>
      <c r="AH38" s="45">
        <f t="shared" si="15"/>
        <v>0</v>
      </c>
      <c r="AI38" s="48" t="str">
        <f>IF(B38&lt;'3. Lüderitz Industry'!$L$20,"0",IF('4. Lüderitz Population Calc'!B38&lt;'3. Lüderitz Industry'!$L$21,'3. Lüderitz Industry'!$O$20,IF('4. Lüderitz Population Calc'!B38&lt;'3. Lüderitz Industry'!$L$22,'3. Lüderitz Industry'!$O$21,('3. Lüderitz Industry'!$O$21+'3. Lüderitz Industry'!$O$22))))</f>
        <v>0</v>
      </c>
      <c r="AJ38" s="45">
        <f t="shared" si="16"/>
        <v>0</v>
      </c>
      <c r="AK38" s="37"/>
      <c r="AL38" s="45">
        <f>(AL37+(AL37*Lüderitz_PopulationGrowthRate))+('4. Lüderitz Population Calc'!V38*Resident_Job_Multiplier)</f>
        <v>29506.981924469619</v>
      </c>
      <c r="AM38" s="45">
        <f>(AM37+(AM37*Lüderitz_PopulationGrowthRate))+('4. Lüderitz Population Calc'!W38*'2. Control Panel - Lüderitz'!$G$12)</f>
        <v>46144.340284469617</v>
      </c>
      <c r="AN38" s="45">
        <f>(AN37+(AN37*Lüderitz_PopulationGrowthRate))+('4. Lüderitz Population Calc'!Y38*'2. Control Panel - Lüderitz'!$G$12)+Z38</f>
        <v>46149.53572180614</v>
      </c>
      <c r="AO38" s="45">
        <f>(AO37+(AO37*'2. Control Panel - Lüderitz'!$D$10))+('4. Lüderitz Population Calc'!AB38*'2. Control Panel - Lüderitz'!$G$12)</f>
        <v>67452.004582396868</v>
      </c>
      <c r="AP38" s="45">
        <f>(AP37+(AP37*'2. Control Panel - Lüderitz'!$D$10))+('4. Lüderitz Population Calc'!AD38*'2. Control Panel - Lüderitz'!$G$12)+AE38</f>
        <v>62786.894081806146</v>
      </c>
      <c r="AQ38" s="45">
        <f>(AQ37+(AQ37*'2. Control Panel - Lüderitz'!$D$10))+('4. Lüderitz Population Calc'!AF38*'2. Control Panel - Lüderitz'!$G$12)</f>
        <v>84089.362942396881</v>
      </c>
      <c r="AR38" s="45">
        <f>(AR37+(AR37*'2. Control Panel - Lüderitz'!$D$10))+('4. Lüderitz Population Calc'!AH38*'2. Control Panel - Lüderitz'!$G$12)+(AI38-AI37)</f>
        <v>84089.362942396881</v>
      </c>
      <c r="AS38" s="45">
        <f>(AS37+(AS37*'2. Control Panel - Lüderitz'!$D$10))+('4. Lüderitz Population Calc'!AJ38*'2. Control Panel - Lüderitz'!$G$12)</f>
        <v>84089.362942396881</v>
      </c>
      <c r="AU38" s="45">
        <f t="shared" si="2"/>
        <v>29506.981924469619</v>
      </c>
      <c r="AV38" s="45">
        <f t="shared" si="3"/>
        <v>46144.340284469617</v>
      </c>
      <c r="AW38" s="45">
        <f>(AW37+(AW37*'2. Control Panel - Lüderitz'!$D$10))+('4. Lüderitz Population Calc'!Y38*Resident_Job_Multiplier)</f>
        <v>29506.981924469619</v>
      </c>
      <c r="AX38" s="45">
        <f>(AX37+(AX37*Lüderitz_PopulationGrowthRate))+('4. Lüderitz Population Calc'!Y38*Resident_Job_Multiplier)+(Z38*Resident__Job_Multiplier_wO_H2_worker)</f>
        <v>57466.472303994968</v>
      </c>
      <c r="AY38" s="45">
        <f>(AY37+(AY37*Lüderitz_PopulationGrowthRate))+('4. Lüderitz Population Calc'!AD38*Resident_Job_Multiplier)</f>
        <v>46144.340284469617</v>
      </c>
      <c r="AZ38" s="45">
        <f>(AZ37+(AZ37*Lüderitz_PopulationGrowthRate))+('4. Lüderitz Population Calc'!AD38*Resident_Job_Multiplier)+((AF38-AD38)*Resident__Job_Multiplier_wO_H2_worker)</f>
        <v>74103.830663994973</v>
      </c>
      <c r="BA38" s="45">
        <f>(BA37+(BA37*Lüderitz_PopulationGrowthRate))+('4. Lüderitz Population Calc'!AD38*Resident_Job_Multiplier)+((AF38-AD38)*Resident__Job_Multiplier_wO_H2_worker)</f>
        <v>74103.830663994973</v>
      </c>
      <c r="BB38" s="45">
        <f>(BB37+(BB37*Lüderitz_PopulationGrowthRate))+('4. Lüderitz Population Calc'!AD38*Resident_Job_Multiplier)+((AF38-AD38)*Resident__Job_Multiplier_wO_H2_worker)+((AI38-AI37)*Resident__Job_Multiplier_wO_H2_worker)</f>
        <v>74103.830663994973</v>
      </c>
    </row>
    <row r="39" spans="2:54" x14ac:dyDescent="0.2">
      <c r="B39" s="44">
        <f t="shared" si="4"/>
        <v>2033</v>
      </c>
      <c r="C39" s="45">
        <f>C38+(C38*'2. Control Panel - Lüderitz'!$D$10)</f>
        <v>20074.967833524417</v>
      </c>
      <c r="D39" s="37"/>
      <c r="E39" s="45">
        <f>IF(B39&lt;'3. Lüderitz Industry'!$C$12,"",IF('4. Lüderitz Population Calc'!B39&lt;'3. Lüderitz Industry'!$C$16,'3. Lüderitz Industry'!$D$15,IF('4. Lüderitz Population Calc'!B39&lt;'3. Lüderitz Industry'!$C$17,'3. Lüderitz Industry'!$D$16,'3. Lüderitz Industry'!$D$17)))</f>
        <v>400</v>
      </c>
      <c r="F39" s="45">
        <f>IF(B39&lt;'3. Lüderitz Industry'!$C$12,"",IF('4. Lüderitz Population Calc'!B39&lt;'3. Lüderitz Industry'!$C$16,'3. Lüderitz Industry'!$E$15,IF('4. Lüderitz Population Calc'!B39&lt;'3. Lüderitz Industry'!$C$17,'3. Lüderitz Industry'!$E$16,'3. Lüderitz Industry'!$E$17)))</f>
        <v>1000</v>
      </c>
      <c r="G39" s="45">
        <f>IF(B39&lt;'3. Lüderitz Industry'!$C$26,"",IF(B39&lt;'3. Lüderitz Industry'!$C$27,'3. Lüderitz Industry'!$D$26,IF('4. Lüderitz Population Calc'!B39&lt;'3. Lüderitz Industry'!$C$28,'3. Lüderitz Industry'!$D$27,'3. Lüderitz Industry'!$D$28)))</f>
        <v>582.85714285714278</v>
      </c>
      <c r="H39" s="45">
        <f>IF(B39&lt;'3. Lüderitz Industry'!$C$26,"",IF(B39&lt;'3. Lüderitz Industry'!$C$27,'3. Lüderitz Industry'!$E$26,IF('4. Lüderitz Population Calc'!B39&lt;'3. Lüderitz Industry'!$C$28,'3. Lüderitz Industry'!$E$27,'3. Lüderitz Industry'!$E$28)))</f>
        <v>1457.1428571428569</v>
      </c>
      <c r="I39" s="45">
        <f>IF(B39&lt;'3. Lüderitz Industry'!$C$32,"",'3. Lüderitz Industry'!$C$33)</f>
        <v>310</v>
      </c>
      <c r="J39" s="45">
        <f>IF(B39&lt;'3. Lüderitz Industry'!$C$38,"",'3. Lüderitz Industry'!$C$39)</f>
        <v>50</v>
      </c>
      <c r="K39" s="45">
        <f>IF(B39&lt;'3. Lüderitz Industry'!$C$45,"",'3. Lüderitz Industry'!$C$46)</f>
        <v>0</v>
      </c>
      <c r="L39" s="45">
        <f>IF(B39&lt;'3. Lüderitz Industry'!$C$52,"",'3. Lüderitz Industry'!$C$53)</f>
        <v>200</v>
      </c>
      <c r="M39" s="45">
        <f>IF(B39&lt;'3. Lüderitz Industry'!$I$11,"",'3. Lüderitz Industry'!$I$12)</f>
        <v>7000</v>
      </c>
      <c r="N39" s="45">
        <f>IF(B39&lt;'3. Lüderitz Industry'!$I$17,"",'3. Lüderitz Industry'!$I$18)</f>
        <v>0</v>
      </c>
      <c r="O39" s="45">
        <f>IF(B39&lt;'3. Lüderitz Industry'!$I$23,"",'3. Lüderitz Industry'!$I$24)</f>
        <v>0</v>
      </c>
      <c r="P39" s="45">
        <f>IF(B39&lt;'3. Lüderitz Industry'!$I$29,"",'3. Lüderitz Industry'!$I$30)</f>
        <v>0</v>
      </c>
      <c r="Q39" s="45">
        <f>IF(B39&lt;'3. Lüderitz Industry'!$L$12,"",IF('4. Lüderitz Population Calc'!B39&lt;'3. Lüderitz Industry'!$L$13,'3. Lüderitz Industry'!$O$12,IF('4. Lüderitz Population Calc'!B39&lt;'3. Lüderitz Industry'!$L$14,'3. Lüderitz Industry'!$O$13,'3. Lüderitz Industry'!$O$14)))</f>
        <v>14000</v>
      </c>
      <c r="R39" s="45">
        <f>IF(B39&lt;'3. Lüderitz Industry'!$L$12,"",IF('4. Lüderitz Population Calc'!B39&lt;'3. Lüderitz Industry'!$L$13,'3. Lüderitz Industry'!$N$12,IF('4. Lüderitz Population Calc'!B39&lt;'3. Lüderitz Industry'!$L$14,'3. Lüderitz Industry'!$N$13,'3. Lüderitz Industry'!$N$14)))</f>
        <v>1000</v>
      </c>
      <c r="S39" s="45" t="str">
        <f>IF(B39&lt;'3. Lüderitz Industry'!$L$20,"",IF('4. Lüderitz Population Calc'!B39&lt;'3. Lüderitz Industry'!$L$21,'3. Lüderitz Industry'!$P$20,IF('4. Lüderitz Population Calc'!B39&lt;'3. Lüderitz Industry'!$L$22,'3. Lüderitz Industry'!$P$21,'3. Lüderitz Industry'!$P$22)))</f>
        <v/>
      </c>
      <c r="T39" s="45" t="str">
        <f>IF(B39&lt;'3. Lüderitz Industry'!$L$20,"",IF('4. Lüderitz Population Calc'!B39&lt;'3. Lüderitz Industry'!$L$21,'3. Lüderitz Industry'!$O$20,IF('4. Lüderitz Population Calc'!B39&lt;'3. Lüderitz Industry'!$L$22,'3. Lüderitz Industry'!$O$21,'3. Lüderitz Industry'!$O$22)))</f>
        <v/>
      </c>
      <c r="U39" s="37"/>
      <c r="V39" s="45">
        <f t="shared" si="17"/>
        <v>0</v>
      </c>
      <c r="W39" s="45">
        <f t="shared" si="5"/>
        <v>0</v>
      </c>
      <c r="X39" s="45">
        <f t="shared" si="6"/>
        <v>0</v>
      </c>
      <c r="Y39" s="45">
        <f t="shared" si="7"/>
        <v>0</v>
      </c>
      <c r="Z39" s="45">
        <f t="shared" si="8"/>
        <v>0</v>
      </c>
      <c r="AA39" s="45">
        <f>IF(B39&lt;'3. Lüderitz Industry'!$L$12,"0",IF('4. Lüderitz Population Calc'!B39&lt;'3. Lüderitz Industry'!$L$13,'3. Lüderitz Industry'!$M$12,IF('4. Lüderitz Population Calc'!B39&lt;'3. Lüderitz Industry'!$L$14,'3. Lüderitz Industry'!$M$13,('3. Lüderitz Industry'!$M$14+'3. Lüderitz Industry'!$M$13))))</f>
        <v>15000</v>
      </c>
      <c r="AB39" s="45">
        <f t="shared" si="9"/>
        <v>0</v>
      </c>
      <c r="AC39" s="45">
        <f t="shared" si="10"/>
        <v>0</v>
      </c>
      <c r="AD39" s="45">
        <f t="shared" si="11"/>
        <v>0</v>
      </c>
      <c r="AE39" s="45">
        <f t="shared" si="12"/>
        <v>0</v>
      </c>
      <c r="AF39" s="45">
        <f t="shared" si="13"/>
        <v>0</v>
      </c>
      <c r="AG39" s="45">
        <f t="shared" si="14"/>
        <v>0</v>
      </c>
      <c r="AH39" s="45">
        <f t="shared" si="15"/>
        <v>0</v>
      </c>
      <c r="AI39" s="48" t="str">
        <f>IF(B39&lt;'3. Lüderitz Industry'!$L$20,"0",IF('4. Lüderitz Population Calc'!B39&lt;'3. Lüderitz Industry'!$L$21,'3. Lüderitz Industry'!$O$20,IF('4. Lüderitz Population Calc'!B39&lt;'3. Lüderitz Industry'!$L$22,'3. Lüderitz Industry'!$O$21,('3. Lüderitz Industry'!$O$21+'3. Lüderitz Industry'!$O$22))))</f>
        <v>0</v>
      </c>
      <c r="AJ39" s="45">
        <f t="shared" si="16"/>
        <v>0</v>
      </c>
      <c r="AK39" s="37"/>
      <c r="AL39" s="45">
        <f>(AL38+(AL38*Lüderitz_PopulationGrowthRate))+('4. Lüderitz Population Calc'!V39*Resident_Job_Multiplier)</f>
        <v>30126.628544883482</v>
      </c>
      <c r="AM39" s="45">
        <f>(AM38+(AM38*Lüderitz_PopulationGrowthRate))+('4. Lüderitz Population Calc'!W39*'2. Control Panel - Lüderitz'!$G$12)</f>
        <v>47113.371430443476</v>
      </c>
      <c r="AN39" s="45">
        <f>(AN38+(AN38*Lüderitz_PopulationGrowthRate))+('4. Lüderitz Population Calc'!Y39*'2. Control Panel - Lüderitz'!$G$12)+Z39</f>
        <v>47118.675971964069</v>
      </c>
      <c r="AO39" s="45">
        <f>(AO38+(AO38*'2. Control Panel - Lüderitz'!$D$10))+('4. Lüderitz Population Calc'!AB39*'2. Control Panel - Lüderitz'!$G$12)</f>
        <v>68868.496678627198</v>
      </c>
      <c r="AP39" s="45">
        <f>(AP38+(AP38*'2. Control Panel - Lüderitz'!$D$10))+('4. Lüderitz Population Calc'!AD39*'2. Control Panel - Lüderitz'!$G$12)+AE39</f>
        <v>64105.418857524077</v>
      </c>
      <c r="AQ39" s="45">
        <f>(AQ38+(AQ38*'2. Control Panel - Lüderitz'!$D$10))+('4. Lüderitz Population Calc'!AF39*'2. Control Panel - Lüderitz'!$G$12)</f>
        <v>85855.239564187214</v>
      </c>
      <c r="AR39" s="45">
        <f>(AR38+(AR38*'2. Control Panel - Lüderitz'!$D$10))+('4. Lüderitz Population Calc'!AH39*'2. Control Panel - Lüderitz'!$G$12)+(AI39-AI38)</f>
        <v>85855.239564187214</v>
      </c>
      <c r="AS39" s="45">
        <f>(AS38+(AS38*'2. Control Panel - Lüderitz'!$D$10))+('4. Lüderitz Population Calc'!AJ39*'2. Control Panel - Lüderitz'!$G$12)</f>
        <v>85855.239564187214</v>
      </c>
      <c r="AU39" s="45">
        <f t="shared" si="2"/>
        <v>30126.628544883482</v>
      </c>
      <c r="AV39" s="45">
        <f t="shared" si="3"/>
        <v>47113.371430443476</v>
      </c>
      <c r="AW39" s="45">
        <f>(AW38+(AW38*'2. Control Panel - Lüderitz'!$D$10))+('4. Lüderitz Population Calc'!Y39*Resident_Job_Multiplier)</f>
        <v>30126.628544883482</v>
      </c>
      <c r="AX39" s="45">
        <f>(AX38+(AX38*Lüderitz_PopulationGrowthRate))+('4. Lüderitz Population Calc'!Y39*Resident_Job_Multiplier)+(Z39*Resident__Job_Multiplier_wO_H2_worker)</f>
        <v>58673.268222378865</v>
      </c>
      <c r="AY39" s="45">
        <f>(AY38+(AY38*Lüderitz_PopulationGrowthRate))+('4. Lüderitz Population Calc'!AD39*Resident_Job_Multiplier)</f>
        <v>47113.371430443476</v>
      </c>
      <c r="AZ39" s="45">
        <f>(AZ38+(AZ38*Lüderitz_PopulationGrowthRate))+('4. Lüderitz Population Calc'!AD39*Resident_Job_Multiplier)+((AF39-AD39)*Resident__Job_Multiplier_wO_H2_worker)</f>
        <v>75660.011107938873</v>
      </c>
      <c r="BA39" s="45">
        <f>(BA38+(BA38*Lüderitz_PopulationGrowthRate))+('4. Lüderitz Population Calc'!AD39*Resident_Job_Multiplier)+((AF39-AD39)*Resident__Job_Multiplier_wO_H2_worker)</f>
        <v>75660.011107938873</v>
      </c>
      <c r="BB39" s="45">
        <f>(BB38+(BB38*Lüderitz_PopulationGrowthRate))+('4. Lüderitz Population Calc'!AD39*Resident_Job_Multiplier)+((AF39-AD39)*Resident__Job_Multiplier_wO_H2_worker)+((AI39-AI38)*Resident__Job_Multiplier_wO_H2_worker)</f>
        <v>75660.011107938873</v>
      </c>
    </row>
    <row r="40" spans="2:54" x14ac:dyDescent="0.2">
      <c r="B40" s="44">
        <f t="shared" si="4"/>
        <v>2034</v>
      </c>
      <c r="C40" s="45">
        <f>C39+(C39*'2. Control Panel - Lüderitz'!$D$10)</f>
        <v>20496.542158028431</v>
      </c>
      <c r="D40" s="37"/>
      <c r="E40" s="45">
        <f>IF(B40&lt;'3. Lüderitz Industry'!$C$12,"",IF('4. Lüderitz Population Calc'!B40&lt;'3. Lüderitz Industry'!$C$16,'3. Lüderitz Industry'!$D$15,IF('4. Lüderitz Population Calc'!B40&lt;'3. Lüderitz Industry'!$C$17,'3. Lüderitz Industry'!$D$16,'3. Lüderitz Industry'!$D$17)))</f>
        <v>600</v>
      </c>
      <c r="F40" s="45">
        <f>IF(B40&lt;'3. Lüderitz Industry'!$C$12,"",IF('4. Lüderitz Population Calc'!B40&lt;'3. Lüderitz Industry'!$C$16,'3. Lüderitz Industry'!$E$15,IF('4. Lüderitz Population Calc'!B40&lt;'3. Lüderitz Industry'!$C$17,'3. Lüderitz Industry'!$E$16,'3. Lüderitz Industry'!$E$17)))</f>
        <v>1500</v>
      </c>
      <c r="G40" s="45">
        <f>IF(B40&lt;'3. Lüderitz Industry'!$C$26,"",IF(B40&lt;'3. Lüderitz Industry'!$C$27,'3. Lüderitz Industry'!$D$26,IF('4. Lüderitz Population Calc'!B40&lt;'3. Lüderitz Industry'!$C$28,'3. Lüderitz Industry'!$D$27,'3. Lüderitz Industry'!$D$28)))</f>
        <v>874.28571428571422</v>
      </c>
      <c r="H40" s="45">
        <f>IF(B40&lt;'3. Lüderitz Industry'!$C$26,"",IF(B40&lt;'3. Lüderitz Industry'!$C$27,'3. Lüderitz Industry'!$E$26,IF('4. Lüderitz Population Calc'!B40&lt;'3. Lüderitz Industry'!$C$28,'3. Lüderitz Industry'!$E$27,'3. Lüderitz Industry'!$E$28)))</f>
        <v>2185.7142857142853</v>
      </c>
      <c r="I40" s="45">
        <f>IF(B40&lt;'3. Lüderitz Industry'!$C$32,"",'3. Lüderitz Industry'!$C$33)</f>
        <v>310</v>
      </c>
      <c r="J40" s="45">
        <f>IF(B40&lt;'3. Lüderitz Industry'!$C$38,"",'3. Lüderitz Industry'!$C$39)</f>
        <v>50</v>
      </c>
      <c r="K40" s="45">
        <f>IF(B40&lt;'3. Lüderitz Industry'!$C$45,"",'3. Lüderitz Industry'!$C$46)</f>
        <v>0</v>
      </c>
      <c r="L40" s="45">
        <f>IF(B40&lt;'3. Lüderitz Industry'!$C$52,"",'3. Lüderitz Industry'!$C$53)</f>
        <v>200</v>
      </c>
      <c r="M40" s="45">
        <f>IF(B40&lt;'3. Lüderitz Industry'!$I$11,"",'3. Lüderitz Industry'!$I$12)</f>
        <v>7000</v>
      </c>
      <c r="N40" s="45">
        <f>IF(B40&lt;'3. Lüderitz Industry'!$I$17,"",'3. Lüderitz Industry'!$I$18)</f>
        <v>0</v>
      </c>
      <c r="O40" s="45">
        <f>IF(B40&lt;'3. Lüderitz Industry'!$I$23,"",'3. Lüderitz Industry'!$I$24)</f>
        <v>0</v>
      </c>
      <c r="P40" s="45">
        <f>IF(B40&lt;'3. Lüderitz Industry'!$I$29,"",'3. Lüderitz Industry'!$I$30)</f>
        <v>0</v>
      </c>
      <c r="Q40" s="45">
        <f>IF(B40&lt;'3. Lüderitz Industry'!$L$12,"",IF('4. Lüderitz Population Calc'!B40&lt;'3. Lüderitz Industry'!$L$13,'3. Lüderitz Industry'!$O$12,IF('4. Lüderitz Population Calc'!B40&lt;'3. Lüderitz Industry'!$L$14,'3. Lüderitz Industry'!$O$13,'3. Lüderitz Industry'!$O$14)))</f>
        <v>0</v>
      </c>
      <c r="R40" s="45">
        <f>IF(B40&lt;'3. Lüderitz Industry'!$L$12,"",IF('4. Lüderitz Population Calc'!B40&lt;'3. Lüderitz Industry'!$L$13,'3. Lüderitz Industry'!$N$12,IF('4. Lüderitz Population Calc'!B40&lt;'3. Lüderitz Industry'!$L$14,'3. Lüderitz Industry'!$N$13,'3. Lüderitz Industry'!$N$14)))</f>
        <v>3000</v>
      </c>
      <c r="S40" s="45" t="str">
        <f>IF(B40&lt;'3. Lüderitz Industry'!$L$20,"",IF('4. Lüderitz Population Calc'!B40&lt;'3. Lüderitz Industry'!$L$21,'3. Lüderitz Industry'!$P$20,IF('4. Lüderitz Population Calc'!B40&lt;'3. Lüderitz Industry'!$L$22,'3. Lüderitz Industry'!$P$21,'3. Lüderitz Industry'!$P$22)))</f>
        <v/>
      </c>
      <c r="T40" s="45" t="str">
        <f>IF(B40&lt;'3. Lüderitz Industry'!$L$20,"",IF('4. Lüderitz Population Calc'!B40&lt;'3. Lüderitz Industry'!$L$21,'3. Lüderitz Industry'!$O$20,IF('4. Lüderitz Population Calc'!B40&lt;'3. Lüderitz Industry'!$L$22,'3. Lüderitz Industry'!$O$21,'3. Lüderitz Industry'!$O$22)))</f>
        <v/>
      </c>
      <c r="U40" s="37"/>
      <c r="V40" s="45">
        <f t="shared" si="17"/>
        <v>1720.0000000000005</v>
      </c>
      <c r="W40" s="45">
        <f t="shared" si="5"/>
        <v>1720</v>
      </c>
      <c r="X40" s="45">
        <f>SUM(E40:L40,Q40:R40)-SUM(E39:L39,Q39:R39)</f>
        <v>-10280</v>
      </c>
      <c r="Y40" s="45">
        <f t="shared" si="7"/>
        <v>1720</v>
      </c>
      <c r="Z40" s="45">
        <f t="shared" si="8"/>
        <v>-12000</v>
      </c>
      <c r="AA40" s="45">
        <f>IF(B40&lt;'3. Lüderitz Industry'!$L$12,"0",IF('4. Lüderitz Population Calc'!B40&lt;'3. Lüderitz Industry'!$L$13,'3. Lüderitz Industry'!$M$12,IF('4. Lüderitz Population Calc'!B40&lt;'3. Lüderitz Industry'!$L$14,'3. Lüderitz Industry'!$M$13,('3. Lüderitz Industry'!$M$14+'3. Lüderitz Industry'!$M$13))))</f>
        <v>18000</v>
      </c>
      <c r="AB40" s="45">
        <f t="shared" si="9"/>
        <v>4720</v>
      </c>
      <c r="AC40" s="45">
        <f t="shared" si="10"/>
        <v>-10280</v>
      </c>
      <c r="AD40" s="45">
        <f t="shared" si="11"/>
        <v>1720</v>
      </c>
      <c r="AE40" s="45">
        <f t="shared" si="12"/>
        <v>-12000</v>
      </c>
      <c r="AF40" s="45">
        <f t="shared" si="13"/>
        <v>4720</v>
      </c>
      <c r="AG40" s="45">
        <f t="shared" si="14"/>
        <v>-10280</v>
      </c>
      <c r="AH40" s="45">
        <f t="shared" si="15"/>
        <v>4720</v>
      </c>
      <c r="AI40" s="48" t="str">
        <f>IF(B40&lt;'3. Lüderitz Industry'!$L$20,"0",IF('4. Lüderitz Population Calc'!B40&lt;'3. Lüderitz Industry'!$L$21,'3. Lüderitz Industry'!$O$20,IF('4. Lüderitz Population Calc'!B40&lt;'3. Lüderitz Industry'!$L$22,'3. Lüderitz Industry'!$O$21,('3. Lüderitz Industry'!$O$21+'3. Lüderitz Industry'!$O$22))))</f>
        <v>0</v>
      </c>
      <c r="AJ40" s="45">
        <f t="shared" si="16"/>
        <v>4720</v>
      </c>
      <c r="AK40" s="37"/>
      <c r="AL40" s="45">
        <f>(AL39+(AL39*Lüderitz_PopulationGrowthRate))+('4. Lüderitz Population Calc'!V40*Resident_Job_Multiplier)</f>
        <v>34680.887744326035</v>
      </c>
      <c r="AM40" s="45">
        <f>(AM39+(AM39*Lüderitz_PopulationGrowthRate))+('4. Lüderitz Population Calc'!W40*'2. Control Panel - Lüderitz'!$G$12)</f>
        <v>52024.352230482786</v>
      </c>
      <c r="AN40" s="45">
        <f>(AN39+(AN39*Lüderitz_PopulationGrowthRate))+('4. Lüderitz Population Calc'!Y40*'2. Control Panel - Lüderitz'!$G$12)+Z40</f>
        <v>40029.76816737531</v>
      </c>
      <c r="AO40" s="45">
        <f>(AO39+(AO39*'2. Control Panel - Lüderitz'!$D$10))+('4. Lüderitz Population Calc'!AB40*'2. Control Panel - Lüderitz'!$G$12)</f>
        <v>81076.335108878382</v>
      </c>
      <c r="AP40" s="45">
        <f>(AP39+(AP39*'2. Control Panel - Lüderitz'!$D$10))+('4. Lüderitz Population Calc'!AD40*'2. Control Panel - Lüderitz'!$G$12)+AE40</f>
        <v>57373.23265353209</v>
      </c>
      <c r="AQ40" s="45">
        <f>(AQ39+(AQ39*'2. Control Panel - Lüderitz'!$D$10))+('4. Lüderitz Population Calc'!AF40*'2. Control Panel - Lüderitz'!$G$12)</f>
        <v>98419.799595035147</v>
      </c>
      <c r="AR40" s="45">
        <f>(AR39+(AR39*'2. Control Panel - Lüderitz'!$D$10))+('4. Lüderitz Population Calc'!AH40*'2. Control Panel - Lüderitz'!$G$12)+(AI40-AI39)</f>
        <v>98419.799595035147</v>
      </c>
      <c r="AS40" s="45">
        <f>(AS39+(AS39*'2. Control Panel - Lüderitz'!$D$10))+('4. Lüderitz Population Calc'!AJ40*'2. Control Panel - Lüderitz'!$G$12)</f>
        <v>98419.799595035147</v>
      </c>
      <c r="AU40" s="45">
        <f t="shared" si="2"/>
        <v>34680.887744326035</v>
      </c>
      <c r="AV40" s="45">
        <f t="shared" si="3"/>
        <v>52024.352230482786</v>
      </c>
      <c r="AW40" s="45">
        <f>(AW39+(AW39*'2. Control Panel - Lüderitz'!$D$10))+('4. Lüderitz Population Calc'!Y40*Resident_Job_Multiplier)</f>
        <v>34680.887744326035</v>
      </c>
      <c r="AX40" s="45">
        <f>(AX39+(AX39*Lüderitz_PopulationGrowthRate))+('4. Lüderitz Population Calc'!Y40*Resident_Job_Multiplier)+(Z40*Resident__Job_Multiplier_wO_H2_worker)</f>
        <v>43667.006855048821</v>
      </c>
      <c r="AY40" s="45">
        <f>(AY39+(AY39*Lüderitz_PopulationGrowthRate))+('4. Lüderitz Population Calc'!AD40*Resident_Job_Multiplier)</f>
        <v>52024.352230482786</v>
      </c>
      <c r="AZ40" s="45">
        <f>(AZ39+(AZ39*Lüderitz_PopulationGrowthRate))+('4. Lüderitz Population Calc'!AD40*Resident_Job_Multiplier)+((AF40-AD40)*Resident__Job_Multiplier_wO_H2_worker)</f>
        <v>86210.471341205601</v>
      </c>
      <c r="BA40" s="45">
        <f>(BA39+(BA39*Lüderitz_PopulationGrowthRate))+('4. Lüderitz Population Calc'!AD40*Resident_Job_Multiplier)+((AF40-AD40)*Resident__Job_Multiplier_wO_H2_worker)</f>
        <v>86210.471341205601</v>
      </c>
      <c r="BB40" s="45">
        <f>(BB39+(BB39*Lüderitz_PopulationGrowthRate))+('4. Lüderitz Population Calc'!AD40*Resident_Job_Multiplier)+((AF40-AD40)*Resident__Job_Multiplier_wO_H2_worker)+((AI40-AI39)*Resident__Job_Multiplier_wO_H2_worker)</f>
        <v>86210.471341205601</v>
      </c>
    </row>
    <row r="41" spans="2:54" x14ac:dyDescent="0.2">
      <c r="B41" s="44">
        <f t="shared" si="4"/>
        <v>2035</v>
      </c>
      <c r="C41" s="45">
        <f>C40+(C40*'2. Control Panel - Lüderitz'!$D$10)</f>
        <v>20926.96954334703</v>
      </c>
      <c r="D41" s="37"/>
      <c r="E41" s="45">
        <f>IF(B41&lt;'3. Lüderitz Industry'!$C$12,"",IF('4. Lüderitz Population Calc'!B41&lt;'3. Lüderitz Industry'!$C$16,'3. Lüderitz Industry'!$D$15,IF('4. Lüderitz Population Calc'!B41&lt;'3. Lüderitz Industry'!$C$17,'3. Lüderitz Industry'!$D$16,'3. Lüderitz Industry'!$D$17)))</f>
        <v>600</v>
      </c>
      <c r="F41" s="45">
        <f>IF(B41&lt;'3. Lüderitz Industry'!$C$12,"",IF('4. Lüderitz Population Calc'!B41&lt;'3. Lüderitz Industry'!$C$16,'3. Lüderitz Industry'!$E$15,IF('4. Lüderitz Population Calc'!B41&lt;'3. Lüderitz Industry'!$C$17,'3. Lüderitz Industry'!$E$16,'3. Lüderitz Industry'!$E$17)))</f>
        <v>1500</v>
      </c>
      <c r="G41" s="45">
        <f>IF(B41&lt;'3. Lüderitz Industry'!$C$26,"",IF(B41&lt;'3. Lüderitz Industry'!$C$27,'3. Lüderitz Industry'!$D$26,IF('4. Lüderitz Population Calc'!B41&lt;'3. Lüderitz Industry'!$C$28,'3. Lüderitz Industry'!$D$27,'3. Lüderitz Industry'!$D$28)))</f>
        <v>874.28571428571422</v>
      </c>
      <c r="H41" s="45">
        <f>IF(B41&lt;'3. Lüderitz Industry'!$C$26,"",IF(B41&lt;'3. Lüderitz Industry'!$C$27,'3. Lüderitz Industry'!$E$26,IF('4. Lüderitz Population Calc'!B41&lt;'3. Lüderitz Industry'!$C$28,'3. Lüderitz Industry'!$E$27,'3. Lüderitz Industry'!$E$28)))</f>
        <v>2185.7142857142853</v>
      </c>
      <c r="I41" s="45">
        <f>IF(B41&lt;'3. Lüderitz Industry'!$C$32,"",'3. Lüderitz Industry'!$C$33)</f>
        <v>310</v>
      </c>
      <c r="J41" s="45">
        <f>IF(B41&lt;'3. Lüderitz Industry'!$C$38,"",'3. Lüderitz Industry'!$C$39)</f>
        <v>50</v>
      </c>
      <c r="K41" s="45">
        <f>IF(B41&lt;'3. Lüderitz Industry'!$C$45,"",'3. Lüderitz Industry'!$C$46)</f>
        <v>0</v>
      </c>
      <c r="L41" s="45">
        <f>IF(B41&lt;'3. Lüderitz Industry'!$C$52,"",'3. Lüderitz Industry'!$C$53)</f>
        <v>200</v>
      </c>
      <c r="M41" s="45">
        <f>IF(B41&lt;'3. Lüderitz Industry'!$I$11,"",'3. Lüderitz Industry'!$I$12)</f>
        <v>7000</v>
      </c>
      <c r="N41" s="45">
        <f>IF(B41&lt;'3. Lüderitz Industry'!$I$17,"",'3. Lüderitz Industry'!$I$18)</f>
        <v>0</v>
      </c>
      <c r="O41" s="45">
        <f>IF(B41&lt;'3. Lüderitz Industry'!$I$23,"",'3. Lüderitz Industry'!$I$24)</f>
        <v>0</v>
      </c>
      <c r="P41" s="45">
        <f>IF(B41&lt;'3. Lüderitz Industry'!$I$29,"",'3. Lüderitz Industry'!$I$30)</f>
        <v>0</v>
      </c>
      <c r="Q41" s="45">
        <f>IF(B41&lt;'3. Lüderitz Industry'!$L$12,"",IF('4. Lüderitz Population Calc'!B41&lt;'3. Lüderitz Industry'!$L$13,'3. Lüderitz Industry'!$O$12,IF('4. Lüderitz Population Calc'!B41&lt;'3. Lüderitz Industry'!$L$14,'3. Lüderitz Industry'!$O$13,'3. Lüderitz Industry'!$O$14)))</f>
        <v>0</v>
      </c>
      <c r="R41" s="45">
        <f>IF(B41&lt;'3. Lüderitz Industry'!$L$12,"",IF('4. Lüderitz Population Calc'!B41&lt;'3. Lüderitz Industry'!$L$13,'3. Lüderitz Industry'!$N$12,IF('4. Lüderitz Population Calc'!B41&lt;'3. Lüderitz Industry'!$L$14,'3. Lüderitz Industry'!$N$13,'3. Lüderitz Industry'!$N$14)))</f>
        <v>3000</v>
      </c>
      <c r="S41" s="45">
        <f>IF(B41&lt;'3. Lüderitz Industry'!$L$20,"",IF('4. Lüderitz Population Calc'!B41&lt;'3. Lüderitz Industry'!$L$21,'3. Lüderitz Industry'!$P$20,IF('4. Lüderitz Population Calc'!B41&lt;'3. Lüderitz Industry'!$L$22,'3. Lüderitz Industry'!$P$21,'3. Lüderitz Industry'!$P$22)))</f>
        <v>0</v>
      </c>
      <c r="T41" s="45">
        <f>IF(B41&lt;'3. Lüderitz Industry'!$L$20,"",IF('4. Lüderitz Population Calc'!B41&lt;'3. Lüderitz Industry'!$L$21,'3. Lüderitz Industry'!$O$20,IF('4. Lüderitz Population Calc'!B41&lt;'3. Lüderitz Industry'!$L$22,'3. Lüderitz Industry'!$O$21,'3. Lüderitz Industry'!$O$22)))</f>
        <v>0</v>
      </c>
      <c r="U41" s="37"/>
      <c r="V41" s="45">
        <f t="shared" si="17"/>
        <v>0</v>
      </c>
      <c r="W41" s="45">
        <f t="shared" si="5"/>
        <v>0</v>
      </c>
      <c r="X41" s="45">
        <f t="shared" si="6"/>
        <v>0</v>
      </c>
      <c r="Y41" s="45">
        <f t="shared" si="7"/>
        <v>0</v>
      </c>
      <c r="Z41" s="45">
        <f t="shared" si="8"/>
        <v>0</v>
      </c>
      <c r="AA41" s="45">
        <f>IF(B41&lt;'3. Lüderitz Industry'!$L$12,"0",IF('4. Lüderitz Population Calc'!B41&lt;'3. Lüderitz Industry'!$L$13,'3. Lüderitz Industry'!$M$12,IF('4. Lüderitz Population Calc'!B41&lt;'3. Lüderitz Industry'!$L$14,'3. Lüderitz Industry'!$M$13,('3. Lüderitz Industry'!$M$14+'3. Lüderitz Industry'!$M$13))))</f>
        <v>18000</v>
      </c>
      <c r="AB41" s="45">
        <f t="shared" si="9"/>
        <v>0</v>
      </c>
      <c r="AC41" s="45">
        <f t="shared" si="10"/>
        <v>0</v>
      </c>
      <c r="AD41" s="45">
        <f t="shared" si="11"/>
        <v>0</v>
      </c>
      <c r="AE41" s="45">
        <f t="shared" si="12"/>
        <v>0</v>
      </c>
      <c r="AF41" s="45">
        <f t="shared" si="13"/>
        <v>0</v>
      </c>
      <c r="AG41" s="45">
        <f t="shared" si="14"/>
        <v>0</v>
      </c>
      <c r="AH41" s="45">
        <f t="shared" si="15"/>
        <v>0</v>
      </c>
      <c r="AI41" s="45">
        <f>IF(B41&lt;'3. Lüderitz Industry'!$L$20,"0",IF('4. Lüderitz Population Calc'!B41&lt;'3. Lüderitz Industry'!$L$21,'3. Lüderitz Industry'!$O$20,IF('4. Lüderitz Population Calc'!B41&lt;'3. Lüderitz Industry'!$L$22,'3. Lüderitz Industry'!$O$21,('3. Lüderitz Industry'!$O$21+'3. Lüderitz Industry'!$O$22))))</f>
        <v>0</v>
      </c>
      <c r="AJ41" s="45">
        <f t="shared" si="16"/>
        <v>0</v>
      </c>
      <c r="AK41" s="37"/>
      <c r="AL41" s="45">
        <f>(AL40+(AL40*Lüderitz_PopulationGrowthRate))+('4. Lüderitz Population Calc'!V41*Resident_Job_Multiplier)</f>
        <v>35409.186386956884</v>
      </c>
      <c r="AM41" s="45">
        <f>(AM40+(AM40*Lüderitz_PopulationGrowthRate))+('4. Lüderitz Population Calc'!W41*'2. Control Panel - Lüderitz'!$G$12)</f>
        <v>53116.863627322928</v>
      </c>
      <c r="AN41" s="45">
        <f>(AN40+(AN40*Lüderitz_PopulationGrowthRate))+('4. Lüderitz Population Calc'!Y41*'2. Control Panel - Lüderitz'!$G$12)+Z41</f>
        <v>40870.393298890194</v>
      </c>
      <c r="AO41" s="45">
        <f>(AO40+(AO40*'2. Control Panel - Lüderitz'!$D$10))+('4. Lüderitz Population Calc'!AB41*'2. Control Panel - Lüderitz'!$G$12)</f>
        <v>82778.93814616483</v>
      </c>
      <c r="AP41" s="45">
        <f>(AP40+(AP40*'2. Control Panel - Lüderitz'!$D$10))+('4. Lüderitz Population Calc'!AD41*'2. Control Panel - Lüderitz'!$G$12)+AE41</f>
        <v>58578.070539256267</v>
      </c>
      <c r="AQ41" s="45">
        <f>(AQ40+(AQ40*'2. Control Panel - Lüderitz'!$D$10))+('4. Lüderitz Population Calc'!AF41*'2. Control Panel - Lüderitz'!$G$12)</f>
        <v>100486.61538653089</v>
      </c>
      <c r="AR41" s="45">
        <f>(AR40+(AR40*'2. Control Panel - Lüderitz'!$D$10))+('4. Lüderitz Population Calc'!AH41*'2. Control Panel - Lüderitz'!$G$12)+(AI41-AI40)</f>
        <v>100486.61538653089</v>
      </c>
      <c r="AS41" s="45">
        <f>(AS40+(AS40*'2. Control Panel - Lüderitz'!$D$10))+('4. Lüderitz Population Calc'!AJ41*'2. Control Panel - Lüderitz'!$G$12)</f>
        <v>100486.61538653089</v>
      </c>
      <c r="AU41" s="45">
        <f t="shared" si="2"/>
        <v>35409.186386956884</v>
      </c>
      <c r="AV41" s="45">
        <f t="shared" si="3"/>
        <v>53116.863627322928</v>
      </c>
      <c r="AW41" s="45">
        <f>(AW40+(AW40*'2. Control Panel - Lüderitz'!$D$10))+('4. Lüderitz Population Calc'!Y41*Resident_Job_Multiplier)</f>
        <v>35409.186386956884</v>
      </c>
      <c r="AX41" s="45">
        <f>(AX40+(AX40*Lüderitz_PopulationGrowthRate))+('4. Lüderitz Population Calc'!Y41*Resident_Job_Multiplier)+(Z41*Resident__Job_Multiplier_wO_H2_worker)</f>
        <v>44584.013999004848</v>
      </c>
      <c r="AY41" s="45">
        <f>(AY40+(AY40*Lüderitz_PopulationGrowthRate))+('4. Lüderitz Population Calc'!AD41*Resident_Job_Multiplier)</f>
        <v>53116.863627322928</v>
      </c>
      <c r="AZ41" s="45">
        <f>(AZ40+(AZ40*Lüderitz_PopulationGrowthRate))+('4. Lüderitz Population Calc'!AD41*Resident_Job_Multiplier)+((AF41-AD41)*Resident__Job_Multiplier_wO_H2_worker)</f>
        <v>88020.891239370918</v>
      </c>
      <c r="BA41" s="45">
        <f>(BA40+(BA40*Lüderitz_PopulationGrowthRate))+('4. Lüderitz Population Calc'!AD41*Resident_Job_Multiplier)+((AF41-AD41)*Resident__Job_Multiplier_wO_H2_worker)</f>
        <v>88020.891239370918</v>
      </c>
      <c r="BB41" s="45">
        <f>(BB40+(BB40*Lüderitz_PopulationGrowthRate))+('4. Lüderitz Population Calc'!AD41*Resident_Job_Multiplier)+((AF41-AD41)*Resident__Job_Multiplier_wO_H2_worker)+((AI41-AI40)*Resident__Job_Multiplier_wO_H2_worker)</f>
        <v>88020.891239370918</v>
      </c>
    </row>
    <row r="42" spans="2:54" x14ac:dyDescent="0.2">
      <c r="B42" s="44">
        <f t="shared" si="4"/>
        <v>2036</v>
      </c>
      <c r="C42" s="45">
        <f>C41+(C41*'2. Control Panel - Lüderitz'!$D$10)</f>
        <v>21366.435903757316</v>
      </c>
      <c r="D42" s="37"/>
      <c r="E42" s="45">
        <f>IF(B42&lt;'3. Lüderitz Industry'!$C$12,"",IF('4. Lüderitz Population Calc'!B42&lt;'3. Lüderitz Industry'!$C$16,'3. Lüderitz Industry'!$D$15,IF('4. Lüderitz Population Calc'!B42&lt;'3. Lüderitz Industry'!$C$17,'3. Lüderitz Industry'!$D$16,'3. Lüderitz Industry'!$D$17)))</f>
        <v>600</v>
      </c>
      <c r="F42" s="45">
        <f>IF(B42&lt;'3. Lüderitz Industry'!$C$12,"",IF('4. Lüderitz Population Calc'!B42&lt;'3. Lüderitz Industry'!$C$16,'3. Lüderitz Industry'!$E$15,IF('4. Lüderitz Population Calc'!B42&lt;'3. Lüderitz Industry'!$C$17,'3. Lüderitz Industry'!$E$16,'3. Lüderitz Industry'!$E$17)))</f>
        <v>1500</v>
      </c>
      <c r="G42" s="45">
        <f>IF(B42&lt;'3. Lüderitz Industry'!$C$26,"",IF(B42&lt;'3. Lüderitz Industry'!$C$27,'3. Lüderitz Industry'!$D$26,IF('4. Lüderitz Population Calc'!B42&lt;'3. Lüderitz Industry'!$C$28,'3. Lüderitz Industry'!$D$27,'3. Lüderitz Industry'!$D$28)))</f>
        <v>874.28571428571422</v>
      </c>
      <c r="H42" s="45">
        <f>IF(B42&lt;'3. Lüderitz Industry'!$C$26,"",IF(B42&lt;'3. Lüderitz Industry'!$C$27,'3. Lüderitz Industry'!$E$26,IF('4. Lüderitz Population Calc'!B42&lt;'3. Lüderitz Industry'!$C$28,'3. Lüderitz Industry'!$E$27,'3. Lüderitz Industry'!$E$28)))</f>
        <v>2185.7142857142853</v>
      </c>
      <c r="I42" s="45">
        <f>IF(B42&lt;'3. Lüderitz Industry'!$C$32,"",'3. Lüderitz Industry'!$C$33)</f>
        <v>310</v>
      </c>
      <c r="J42" s="45">
        <f>IF(B42&lt;'3. Lüderitz Industry'!$C$38,"",'3. Lüderitz Industry'!$C$39)</f>
        <v>50</v>
      </c>
      <c r="K42" s="45">
        <f>IF(B42&lt;'3. Lüderitz Industry'!$C$45,"",'3. Lüderitz Industry'!$C$46)</f>
        <v>0</v>
      </c>
      <c r="L42" s="45">
        <f>IF(B42&lt;'3. Lüderitz Industry'!$C$52,"",'3. Lüderitz Industry'!$C$53)</f>
        <v>200</v>
      </c>
      <c r="M42" s="45">
        <f>IF(B42&lt;'3. Lüderitz Industry'!$I$11,"",'3. Lüderitz Industry'!$I$12)</f>
        <v>7000</v>
      </c>
      <c r="N42" s="45">
        <f>IF(B42&lt;'3. Lüderitz Industry'!$I$17,"",'3. Lüderitz Industry'!$I$18)</f>
        <v>0</v>
      </c>
      <c r="O42" s="45">
        <f>IF(B42&lt;'3. Lüderitz Industry'!$I$23,"",'3. Lüderitz Industry'!$I$24)</f>
        <v>0</v>
      </c>
      <c r="P42" s="45">
        <f>IF(B42&lt;'3. Lüderitz Industry'!$I$29,"",'3. Lüderitz Industry'!$I$30)</f>
        <v>0</v>
      </c>
      <c r="Q42" s="45">
        <f>IF(B42&lt;'3. Lüderitz Industry'!$L$12,"",IF('4. Lüderitz Population Calc'!B42&lt;'3. Lüderitz Industry'!$L$13,'3. Lüderitz Industry'!$O$12,IF('4. Lüderitz Population Calc'!B42&lt;'3. Lüderitz Industry'!$L$14,'3. Lüderitz Industry'!$O$13,'3. Lüderitz Industry'!$O$14)))</f>
        <v>0</v>
      </c>
      <c r="R42" s="45">
        <f>IF(B42&lt;'3. Lüderitz Industry'!$L$12,"",IF('4. Lüderitz Population Calc'!B42&lt;'3. Lüderitz Industry'!$L$13,'3. Lüderitz Industry'!$N$12,IF('4. Lüderitz Population Calc'!B42&lt;'3. Lüderitz Industry'!$L$14,'3. Lüderitz Industry'!$N$13,'3. Lüderitz Industry'!$N$14)))</f>
        <v>3000</v>
      </c>
      <c r="S42" s="45">
        <f>IF(B42&lt;'3. Lüderitz Industry'!$L$20,"",IF('4. Lüderitz Population Calc'!B42&lt;'3. Lüderitz Industry'!$L$21,'3. Lüderitz Industry'!$P$20,IF('4. Lüderitz Population Calc'!B42&lt;'3. Lüderitz Industry'!$L$22,'3. Lüderitz Industry'!$P$21,'3. Lüderitz Industry'!$P$22)))</f>
        <v>0</v>
      </c>
      <c r="T42" s="45">
        <f>IF(B42&lt;'3. Lüderitz Industry'!$L$20,"",IF('4. Lüderitz Population Calc'!B42&lt;'3. Lüderitz Industry'!$L$21,'3. Lüderitz Industry'!$O$20,IF('4. Lüderitz Population Calc'!B42&lt;'3. Lüderitz Industry'!$L$22,'3. Lüderitz Industry'!$O$21,'3. Lüderitz Industry'!$O$22)))</f>
        <v>0</v>
      </c>
      <c r="U42" s="37"/>
      <c r="V42" s="45">
        <f t="shared" si="17"/>
        <v>0</v>
      </c>
      <c r="W42" s="45">
        <f t="shared" si="5"/>
        <v>0</v>
      </c>
      <c r="X42" s="45">
        <f t="shared" si="6"/>
        <v>0</v>
      </c>
      <c r="Y42" s="45">
        <f t="shared" si="7"/>
        <v>0</v>
      </c>
      <c r="Z42" s="45">
        <f t="shared" si="8"/>
        <v>0</v>
      </c>
      <c r="AA42" s="45">
        <f>IF(B42&lt;'3. Lüderitz Industry'!$L$12,"0",IF('4. Lüderitz Population Calc'!B42&lt;'3. Lüderitz Industry'!$L$13,'3. Lüderitz Industry'!$M$12,IF('4. Lüderitz Population Calc'!B42&lt;'3. Lüderitz Industry'!$L$14,'3. Lüderitz Industry'!$M$13,('3. Lüderitz Industry'!$M$14+'3. Lüderitz Industry'!$M$13))))</f>
        <v>18000</v>
      </c>
      <c r="AB42" s="45">
        <f t="shared" si="9"/>
        <v>0</v>
      </c>
      <c r="AC42" s="45">
        <f t="shared" si="10"/>
        <v>0</v>
      </c>
      <c r="AD42" s="45">
        <f t="shared" si="11"/>
        <v>0</v>
      </c>
      <c r="AE42" s="45">
        <f t="shared" si="12"/>
        <v>0</v>
      </c>
      <c r="AF42" s="45">
        <f t="shared" si="13"/>
        <v>0</v>
      </c>
      <c r="AG42" s="45">
        <f t="shared" si="14"/>
        <v>0</v>
      </c>
      <c r="AH42" s="45">
        <f t="shared" si="15"/>
        <v>0</v>
      </c>
      <c r="AI42" s="45">
        <f>IF(B42&lt;'3. Lüderitz Industry'!$L$20,"0",IF('4. Lüderitz Population Calc'!B42&lt;'3. Lüderitz Industry'!$L$21,'3. Lüderitz Industry'!$O$20,IF('4. Lüderitz Population Calc'!B42&lt;'3. Lüderitz Industry'!$L$22,'3. Lüderitz Industry'!$O$21,('3. Lüderitz Industry'!$O$21+'3. Lüderitz Industry'!$O$22))))</f>
        <v>0</v>
      </c>
      <c r="AJ42" s="45">
        <f t="shared" si="16"/>
        <v>0</v>
      </c>
      <c r="AK42" s="37"/>
      <c r="AL42" s="45">
        <f>(AL41+(AL41*Lüderitz_PopulationGrowthRate))+('4. Lüderitz Population Calc'!V42*Resident_Job_Multiplier)</f>
        <v>36152.779301082977</v>
      </c>
      <c r="AM42" s="45">
        <f>(AM41+(AM41*Lüderitz_PopulationGrowthRate))+('4. Lüderitz Population Calc'!W42*'2. Control Panel - Lüderitz'!$G$12)</f>
        <v>54232.317763496707</v>
      </c>
      <c r="AN42" s="45">
        <f>(AN41+(AN41*Lüderitz_PopulationGrowthRate))+('4. Lüderitz Population Calc'!Y42*'2. Control Panel - Lüderitz'!$G$12)+Z42</f>
        <v>41728.67155816689</v>
      </c>
      <c r="AO42" s="45">
        <f>(AO41+(AO41*'2. Control Panel - Lüderitz'!$D$10))+('4. Lüderitz Population Calc'!AB42*'2. Control Panel - Lüderitz'!$G$12)</f>
        <v>84517.295847234287</v>
      </c>
      <c r="AP42" s="45">
        <f>(AP41+(AP41*'2. Control Panel - Lüderitz'!$D$10))+('4. Lüderitz Population Calc'!AD42*'2. Control Panel - Lüderitz'!$G$12)+AE42</f>
        <v>59808.210020580649</v>
      </c>
      <c r="AQ42" s="45">
        <f>(AQ41+(AQ41*'2. Control Panel - Lüderitz'!$D$10))+('4. Lüderitz Population Calc'!AF42*'2. Control Panel - Lüderitz'!$G$12)</f>
        <v>102596.83430964804</v>
      </c>
      <c r="AR42" s="45">
        <f>(AR41+(AR41*'2. Control Panel - Lüderitz'!$D$10))+('4. Lüderitz Population Calc'!AH42*'2. Control Panel - Lüderitz'!$G$12)+(AI42-AI41)</f>
        <v>102596.83430964804</v>
      </c>
      <c r="AS42" s="45">
        <f>(AS41+(AS41*'2. Control Panel - Lüderitz'!$D$10))+('4. Lüderitz Population Calc'!AJ42*'2. Control Panel - Lüderitz'!$G$12)</f>
        <v>102596.83430964804</v>
      </c>
      <c r="AU42" s="45">
        <f t="shared" si="2"/>
        <v>36152.779301082977</v>
      </c>
      <c r="AV42" s="45">
        <f t="shared" si="3"/>
        <v>54232.317763496707</v>
      </c>
      <c r="AW42" s="45">
        <f>(AW41+(AW41*'2. Control Panel - Lüderitz'!$D$10))+('4. Lüderitz Population Calc'!Y42*Resident_Job_Multiplier)</f>
        <v>36152.779301082977</v>
      </c>
      <c r="AX42" s="45">
        <f>(AX41+(AX41*Lüderitz_PopulationGrowthRate))+('4. Lüderitz Population Calc'!Y42*Resident_Job_Multiplier)+(Z42*Resident__Job_Multiplier_wO_H2_worker)</f>
        <v>45520.278292983952</v>
      </c>
      <c r="AY42" s="45">
        <f>(AY41+(AY41*Lüderitz_PopulationGrowthRate))+('4. Lüderitz Population Calc'!AD42*Resident_Job_Multiplier)</f>
        <v>54232.317763496707</v>
      </c>
      <c r="AZ42" s="45">
        <f>(AZ41+(AZ41*Lüderitz_PopulationGrowthRate))+('4. Lüderitz Population Calc'!AD42*Resident_Job_Multiplier)+((AF42-AD42)*Resident__Job_Multiplier_wO_H2_worker)</f>
        <v>89869.329955397712</v>
      </c>
      <c r="BA42" s="45">
        <f>(BA41+(BA41*Lüderitz_PopulationGrowthRate))+('4. Lüderitz Population Calc'!AD42*Resident_Job_Multiplier)+((AF42-AD42)*Resident__Job_Multiplier_wO_H2_worker)</f>
        <v>89869.329955397712</v>
      </c>
      <c r="BB42" s="45">
        <f>(BB41+(BB41*Lüderitz_PopulationGrowthRate))+('4. Lüderitz Population Calc'!AD42*Resident_Job_Multiplier)+((AF42-AD42)*Resident__Job_Multiplier_wO_H2_worker)+((AI42-AI41)*Resident__Job_Multiplier_wO_H2_worker)</f>
        <v>89869.329955397712</v>
      </c>
    </row>
    <row r="43" spans="2:54" x14ac:dyDescent="0.2">
      <c r="B43" s="44">
        <f t="shared" si="4"/>
        <v>2037</v>
      </c>
      <c r="C43" s="45">
        <f>C42+(C42*'2. Control Panel - Lüderitz'!$D$10)</f>
        <v>21815.13105773622</v>
      </c>
      <c r="D43" s="37"/>
      <c r="E43" s="45">
        <f>IF(B43&lt;'3. Lüderitz Industry'!$C$12,"",IF('4. Lüderitz Population Calc'!B43&lt;'3. Lüderitz Industry'!$C$16,'3. Lüderitz Industry'!$D$15,IF('4. Lüderitz Population Calc'!B43&lt;'3. Lüderitz Industry'!$C$17,'3. Lüderitz Industry'!$D$16,'3. Lüderitz Industry'!$D$17)))</f>
        <v>600</v>
      </c>
      <c r="F43" s="45">
        <f>IF(B43&lt;'3. Lüderitz Industry'!$C$12,"",IF('4. Lüderitz Population Calc'!B43&lt;'3. Lüderitz Industry'!$C$16,'3. Lüderitz Industry'!$E$15,IF('4. Lüderitz Population Calc'!B43&lt;'3. Lüderitz Industry'!$C$17,'3. Lüderitz Industry'!$E$16,'3. Lüderitz Industry'!$E$17)))</f>
        <v>1500</v>
      </c>
      <c r="G43" s="45">
        <f>IF(B43&lt;'3. Lüderitz Industry'!$C$26,"",IF(B43&lt;'3. Lüderitz Industry'!$C$27,'3. Lüderitz Industry'!$D$26,IF('4. Lüderitz Population Calc'!B43&lt;'3. Lüderitz Industry'!$C$28,'3. Lüderitz Industry'!$D$27,'3. Lüderitz Industry'!$D$28)))</f>
        <v>874.28571428571422</v>
      </c>
      <c r="H43" s="45">
        <f>IF(B43&lt;'3. Lüderitz Industry'!$C$26,"",IF(B43&lt;'3. Lüderitz Industry'!$C$27,'3. Lüderitz Industry'!$E$26,IF('4. Lüderitz Population Calc'!B43&lt;'3. Lüderitz Industry'!$C$28,'3. Lüderitz Industry'!$E$27,'3. Lüderitz Industry'!$E$28)))</f>
        <v>2185.7142857142853</v>
      </c>
      <c r="I43" s="45">
        <f>IF(B43&lt;'3. Lüderitz Industry'!$C$32,"",'3. Lüderitz Industry'!$C$33)</f>
        <v>310</v>
      </c>
      <c r="J43" s="45">
        <f>IF(B43&lt;'3. Lüderitz Industry'!$C$38,"",'3. Lüderitz Industry'!$C$39)</f>
        <v>50</v>
      </c>
      <c r="K43" s="45">
        <f>IF(B43&lt;'3. Lüderitz Industry'!$C$45,"",'3. Lüderitz Industry'!$C$46)</f>
        <v>0</v>
      </c>
      <c r="L43" s="45">
        <f>IF(B43&lt;'3. Lüderitz Industry'!$C$52,"",'3. Lüderitz Industry'!$C$53)</f>
        <v>200</v>
      </c>
      <c r="M43" s="45">
        <f>IF(B43&lt;'3. Lüderitz Industry'!$I$11,"",'3. Lüderitz Industry'!$I$12)</f>
        <v>7000</v>
      </c>
      <c r="N43" s="45">
        <f>IF(B43&lt;'3. Lüderitz Industry'!$I$17,"",'3. Lüderitz Industry'!$I$18)</f>
        <v>0</v>
      </c>
      <c r="O43" s="45">
        <f>IF(B43&lt;'3. Lüderitz Industry'!$I$23,"",'3. Lüderitz Industry'!$I$24)</f>
        <v>0</v>
      </c>
      <c r="P43" s="45">
        <f>IF(B43&lt;'3. Lüderitz Industry'!$I$29,"",'3. Lüderitz Industry'!$I$30)</f>
        <v>0</v>
      </c>
      <c r="Q43" s="45">
        <f>IF(B43&lt;'3. Lüderitz Industry'!$L$12,"",IF('4. Lüderitz Population Calc'!B43&lt;'3. Lüderitz Industry'!$L$13,'3. Lüderitz Industry'!$O$12,IF('4. Lüderitz Population Calc'!B43&lt;'3. Lüderitz Industry'!$L$14,'3. Lüderitz Industry'!$O$13,'3. Lüderitz Industry'!$O$14)))</f>
        <v>0</v>
      </c>
      <c r="R43" s="45">
        <f>IF(B43&lt;'3. Lüderitz Industry'!$L$12,"",IF('4. Lüderitz Population Calc'!B43&lt;'3. Lüderitz Industry'!$L$13,'3. Lüderitz Industry'!$N$12,IF('4. Lüderitz Population Calc'!B43&lt;'3. Lüderitz Industry'!$L$14,'3. Lüderitz Industry'!$N$13,'3. Lüderitz Industry'!$N$14)))</f>
        <v>3000</v>
      </c>
      <c r="S43" s="45">
        <f>IF(B43&lt;'3. Lüderitz Industry'!$L$20,"",IF('4. Lüderitz Population Calc'!B43&lt;'3. Lüderitz Industry'!$L$21,'3. Lüderitz Industry'!$P$20,IF('4. Lüderitz Population Calc'!B43&lt;'3. Lüderitz Industry'!$L$22,'3. Lüderitz Industry'!$P$21,'3. Lüderitz Industry'!$P$22)))</f>
        <v>0</v>
      </c>
      <c r="T43" s="45">
        <f>IF(B43&lt;'3. Lüderitz Industry'!$L$20,"",IF('4. Lüderitz Population Calc'!B43&lt;'3. Lüderitz Industry'!$L$21,'3. Lüderitz Industry'!$O$20,IF('4. Lüderitz Population Calc'!B43&lt;'3. Lüderitz Industry'!$L$22,'3. Lüderitz Industry'!$O$21,'3. Lüderitz Industry'!$O$22)))</f>
        <v>0</v>
      </c>
      <c r="U43" s="37"/>
      <c r="V43" s="45">
        <f t="shared" si="17"/>
        <v>0</v>
      </c>
      <c r="W43" s="45">
        <f t="shared" si="5"/>
        <v>0</v>
      </c>
      <c r="X43" s="45">
        <f t="shared" si="6"/>
        <v>0</v>
      </c>
      <c r="Y43" s="45">
        <f t="shared" si="7"/>
        <v>0</v>
      </c>
      <c r="Z43" s="45">
        <f t="shared" si="8"/>
        <v>0</v>
      </c>
      <c r="AA43" s="45">
        <f>IF(B43&lt;'3. Lüderitz Industry'!$L$12,"0",IF('4. Lüderitz Population Calc'!B43&lt;'3. Lüderitz Industry'!$L$13,'3. Lüderitz Industry'!$M$12,IF('4. Lüderitz Population Calc'!B43&lt;'3. Lüderitz Industry'!$L$14,'3. Lüderitz Industry'!$M$13,('3. Lüderitz Industry'!$M$14+'3. Lüderitz Industry'!$M$13))))</f>
        <v>18000</v>
      </c>
      <c r="AB43" s="45">
        <f t="shared" si="9"/>
        <v>0</v>
      </c>
      <c r="AC43" s="45">
        <f t="shared" si="10"/>
        <v>0</v>
      </c>
      <c r="AD43" s="45">
        <f t="shared" si="11"/>
        <v>0</v>
      </c>
      <c r="AE43" s="45">
        <f t="shared" si="12"/>
        <v>0</v>
      </c>
      <c r="AF43" s="45">
        <f t="shared" si="13"/>
        <v>0</v>
      </c>
      <c r="AG43" s="45">
        <f t="shared" si="14"/>
        <v>0</v>
      </c>
      <c r="AH43" s="45">
        <f t="shared" si="15"/>
        <v>0</v>
      </c>
      <c r="AI43" s="45">
        <f>IF(B43&lt;'3. Lüderitz Industry'!$L$20,"0",IF('4. Lüderitz Population Calc'!B43&lt;'3. Lüderitz Industry'!$L$21,'3. Lüderitz Industry'!$O$20,IF('4. Lüderitz Population Calc'!B43&lt;'3. Lüderitz Industry'!$L$22,'3. Lüderitz Industry'!$O$21,('3. Lüderitz Industry'!$O$21+'3. Lüderitz Industry'!$O$22))))</f>
        <v>0</v>
      </c>
      <c r="AJ43" s="45">
        <f t="shared" si="16"/>
        <v>0</v>
      </c>
      <c r="AK43" s="37"/>
      <c r="AL43" s="45">
        <f>(AL42+(AL42*Lüderitz_PopulationGrowthRate))+('4. Lüderitz Population Calc'!V43*Resident_Job_Multiplier)</f>
        <v>36911.987666405723</v>
      </c>
      <c r="AM43" s="45">
        <f>(AM42+(AM42*Lüderitz_PopulationGrowthRate))+('4. Lüderitz Population Calc'!W43*'2. Control Panel - Lüderitz'!$G$12)</f>
        <v>55371.196436530139</v>
      </c>
      <c r="AN43" s="45">
        <f>(AN42+(AN42*Lüderitz_PopulationGrowthRate))+('4. Lüderitz Population Calc'!Y43*'2. Control Panel - Lüderitz'!$G$12)+Z43</f>
        <v>42604.973660888398</v>
      </c>
      <c r="AO43" s="45">
        <f>(AO42+(AO42*'2. Control Panel - Lüderitz'!$D$10))+('4. Lüderitz Population Calc'!AB43*'2. Control Panel - Lüderitz'!$G$12)</f>
        <v>86292.159060026213</v>
      </c>
      <c r="AP43" s="45">
        <f>(AP42+(AP42*'2. Control Panel - Lüderitz'!$D$10))+('4. Lüderitz Population Calc'!AD43*'2. Control Panel - Lüderitz'!$G$12)+AE43</f>
        <v>61064.182431012843</v>
      </c>
      <c r="AQ43" s="45">
        <f>(AQ42+(AQ42*'2. Control Panel - Lüderitz'!$D$10))+('4. Lüderitz Population Calc'!AF43*'2. Control Panel - Lüderitz'!$G$12)</f>
        <v>104751.36783015064</v>
      </c>
      <c r="AR43" s="45">
        <f>(AR42+(AR42*'2. Control Panel - Lüderitz'!$D$10))+('4. Lüderitz Population Calc'!AH43*'2. Control Panel - Lüderitz'!$G$12)+(AI43-AI42)</f>
        <v>104751.36783015064</v>
      </c>
      <c r="AS43" s="45">
        <f>(AS42+(AS42*'2. Control Panel - Lüderitz'!$D$10))+('4. Lüderitz Population Calc'!AJ43*'2. Control Panel - Lüderitz'!$G$12)</f>
        <v>104751.36783015064</v>
      </c>
      <c r="AU43" s="45">
        <f t="shared" si="2"/>
        <v>36911.987666405723</v>
      </c>
      <c r="AV43" s="45">
        <f t="shared" si="3"/>
        <v>55371.196436530139</v>
      </c>
      <c r="AW43" s="45">
        <f>(AW42+(AW42*'2. Control Panel - Lüderitz'!$D$10))+('4. Lüderitz Population Calc'!Y43*Resident_Job_Multiplier)</f>
        <v>36911.987666405723</v>
      </c>
      <c r="AX43" s="45">
        <f>(AX42+(AX42*Lüderitz_PopulationGrowthRate))+('4. Lüderitz Population Calc'!Y43*Resident_Job_Multiplier)+(Z43*Resident__Job_Multiplier_wO_H2_worker)</f>
        <v>46476.204137136614</v>
      </c>
      <c r="AY43" s="45">
        <f>(AY42+(AY42*Lüderitz_PopulationGrowthRate))+('4. Lüderitz Population Calc'!AD43*Resident_Job_Multiplier)</f>
        <v>55371.196436530139</v>
      </c>
      <c r="AZ43" s="45">
        <f>(AZ42+(AZ42*Lüderitz_PopulationGrowthRate))+('4. Lüderitz Population Calc'!AD43*Resident_Job_Multiplier)+((AF43-AD43)*Resident__Job_Multiplier_wO_H2_worker)</f>
        <v>91756.585884461063</v>
      </c>
      <c r="BA43" s="45">
        <f>(BA42+(BA42*Lüderitz_PopulationGrowthRate))+('4. Lüderitz Population Calc'!AD43*Resident_Job_Multiplier)+((AF43-AD43)*Resident__Job_Multiplier_wO_H2_worker)</f>
        <v>91756.585884461063</v>
      </c>
      <c r="BB43" s="45">
        <f>(BB42+(BB42*Lüderitz_PopulationGrowthRate))+('4. Lüderitz Population Calc'!AD43*Resident_Job_Multiplier)+((AF43-AD43)*Resident__Job_Multiplier_wO_H2_worker)+((AI43-AI42)*Resident__Job_Multiplier_wO_H2_worker)</f>
        <v>91756.585884461063</v>
      </c>
    </row>
    <row r="44" spans="2:54" x14ac:dyDescent="0.2">
      <c r="B44" s="44">
        <f t="shared" si="4"/>
        <v>2038</v>
      </c>
      <c r="C44" s="45">
        <f>C43+(C43*'2. Control Panel - Lüderitz'!$D$10)</f>
        <v>22273.24880994868</v>
      </c>
      <c r="D44" s="37"/>
      <c r="E44" s="45">
        <f>IF(B44&lt;'3. Lüderitz Industry'!$C$12,"",IF('4. Lüderitz Population Calc'!B44&lt;'3. Lüderitz Industry'!$C$16,'3. Lüderitz Industry'!$D$15,IF('4. Lüderitz Population Calc'!B44&lt;'3. Lüderitz Industry'!$C$17,'3. Lüderitz Industry'!$D$16,'3. Lüderitz Industry'!$D$17)))</f>
        <v>600</v>
      </c>
      <c r="F44" s="45">
        <f>IF(B44&lt;'3. Lüderitz Industry'!$C$12,"",IF('4. Lüderitz Population Calc'!B44&lt;'3. Lüderitz Industry'!$C$16,'3. Lüderitz Industry'!$E$15,IF('4. Lüderitz Population Calc'!B44&lt;'3. Lüderitz Industry'!$C$17,'3. Lüderitz Industry'!$E$16,'3. Lüderitz Industry'!$E$17)))</f>
        <v>1500</v>
      </c>
      <c r="G44" s="45">
        <f>IF(B44&lt;'3. Lüderitz Industry'!$C$26,"",IF(B44&lt;'3. Lüderitz Industry'!$C$27,'3. Lüderitz Industry'!$D$26,IF('4. Lüderitz Population Calc'!B44&lt;'3. Lüderitz Industry'!$C$28,'3. Lüderitz Industry'!$D$27,'3. Lüderitz Industry'!$D$28)))</f>
        <v>874.28571428571422</v>
      </c>
      <c r="H44" s="45">
        <f>IF(B44&lt;'3. Lüderitz Industry'!$C$26,"",IF(B44&lt;'3. Lüderitz Industry'!$C$27,'3. Lüderitz Industry'!$E$26,IF('4. Lüderitz Population Calc'!B44&lt;'3. Lüderitz Industry'!$C$28,'3. Lüderitz Industry'!$E$27,'3. Lüderitz Industry'!$E$28)))</f>
        <v>2185.7142857142853</v>
      </c>
      <c r="I44" s="45">
        <f>IF(B44&lt;'3. Lüderitz Industry'!$C$32,"",'3. Lüderitz Industry'!$C$33)</f>
        <v>310</v>
      </c>
      <c r="J44" s="45">
        <f>IF(B44&lt;'3. Lüderitz Industry'!$C$38,"",'3. Lüderitz Industry'!$C$39)</f>
        <v>50</v>
      </c>
      <c r="K44" s="45">
        <f>IF(B44&lt;'3. Lüderitz Industry'!$C$45,"",'3. Lüderitz Industry'!$C$46)</f>
        <v>0</v>
      </c>
      <c r="L44" s="45">
        <f>IF(B44&lt;'3. Lüderitz Industry'!$C$52,"",'3. Lüderitz Industry'!$C$53)</f>
        <v>200</v>
      </c>
      <c r="M44" s="45">
        <f>IF(B44&lt;'3. Lüderitz Industry'!$I$11,"",'3. Lüderitz Industry'!$I$12)</f>
        <v>7000</v>
      </c>
      <c r="N44" s="45">
        <f>IF(B44&lt;'3. Lüderitz Industry'!$I$17,"",'3. Lüderitz Industry'!$I$18)</f>
        <v>0</v>
      </c>
      <c r="O44" s="45">
        <f>IF(B44&lt;'3. Lüderitz Industry'!$I$23,"",'3. Lüderitz Industry'!$I$24)</f>
        <v>0</v>
      </c>
      <c r="P44" s="45">
        <f>IF(B44&lt;'3. Lüderitz Industry'!$I$29,"",'3. Lüderitz Industry'!$I$30)</f>
        <v>0</v>
      </c>
      <c r="Q44" s="45">
        <f>IF(B44&lt;'3. Lüderitz Industry'!$L$12,"",IF('4. Lüderitz Population Calc'!B44&lt;'3. Lüderitz Industry'!$L$13,'3. Lüderitz Industry'!$O$12,IF('4. Lüderitz Population Calc'!B44&lt;'3. Lüderitz Industry'!$L$14,'3. Lüderitz Industry'!$O$13,'3. Lüderitz Industry'!$O$14)))</f>
        <v>0</v>
      </c>
      <c r="R44" s="45">
        <f>IF(B44&lt;'3. Lüderitz Industry'!$L$12,"",IF('4. Lüderitz Population Calc'!B44&lt;'3. Lüderitz Industry'!$L$13,'3. Lüderitz Industry'!$N$12,IF('4. Lüderitz Population Calc'!B44&lt;'3. Lüderitz Industry'!$L$14,'3. Lüderitz Industry'!$N$13,'3. Lüderitz Industry'!$N$14)))</f>
        <v>3000</v>
      </c>
      <c r="S44" s="45">
        <f>IF(B44&lt;'3. Lüderitz Industry'!$L$20,"",IF('4. Lüderitz Population Calc'!B44&lt;'3. Lüderitz Industry'!$L$21,'3. Lüderitz Industry'!$P$20,IF('4. Lüderitz Population Calc'!B44&lt;'3. Lüderitz Industry'!$L$22,'3. Lüderitz Industry'!$P$21,'3. Lüderitz Industry'!$P$22)))</f>
        <v>0</v>
      </c>
      <c r="T44" s="45">
        <f>IF(B44&lt;'3. Lüderitz Industry'!$L$20,"",IF('4. Lüderitz Population Calc'!B44&lt;'3. Lüderitz Industry'!$L$21,'3. Lüderitz Industry'!$O$20,IF('4. Lüderitz Population Calc'!B44&lt;'3. Lüderitz Industry'!$L$22,'3. Lüderitz Industry'!$O$21,'3. Lüderitz Industry'!$O$22)))</f>
        <v>0</v>
      </c>
      <c r="U44" s="37"/>
      <c r="V44" s="45">
        <f t="shared" si="17"/>
        <v>0</v>
      </c>
      <c r="W44" s="45">
        <f t="shared" si="5"/>
        <v>0</v>
      </c>
      <c r="X44" s="45">
        <f t="shared" si="6"/>
        <v>0</v>
      </c>
      <c r="Y44" s="45">
        <f t="shared" si="7"/>
        <v>0</v>
      </c>
      <c r="Z44" s="45">
        <f t="shared" si="8"/>
        <v>0</v>
      </c>
      <c r="AA44" s="45">
        <f>IF(B44&lt;'3. Lüderitz Industry'!$L$12,"0",IF('4. Lüderitz Population Calc'!B44&lt;'3. Lüderitz Industry'!$L$13,'3. Lüderitz Industry'!$M$12,IF('4. Lüderitz Population Calc'!B44&lt;'3. Lüderitz Industry'!$L$14,'3. Lüderitz Industry'!$M$13,('3. Lüderitz Industry'!$M$14+'3. Lüderitz Industry'!$M$13))))</f>
        <v>18000</v>
      </c>
      <c r="AB44" s="45">
        <f t="shared" si="9"/>
        <v>0</v>
      </c>
      <c r="AC44" s="45">
        <f t="shared" si="10"/>
        <v>0</v>
      </c>
      <c r="AD44" s="45">
        <f t="shared" si="11"/>
        <v>0</v>
      </c>
      <c r="AE44" s="45">
        <f t="shared" si="12"/>
        <v>0</v>
      </c>
      <c r="AF44" s="45">
        <f t="shared" si="13"/>
        <v>0</v>
      </c>
      <c r="AG44" s="45">
        <f t="shared" si="14"/>
        <v>0</v>
      </c>
      <c r="AH44" s="45">
        <f t="shared" si="15"/>
        <v>0</v>
      </c>
      <c r="AI44" s="45">
        <f>IF(B44&lt;'3. Lüderitz Industry'!$L$20,"0",IF('4. Lüderitz Population Calc'!B44&lt;'3. Lüderitz Industry'!$L$21,'3. Lüderitz Industry'!$O$20,IF('4. Lüderitz Population Calc'!B44&lt;'3. Lüderitz Industry'!$L$22,'3. Lüderitz Industry'!$O$21,('3. Lüderitz Industry'!$O$21+'3. Lüderitz Industry'!$O$22))))</f>
        <v>0</v>
      </c>
      <c r="AJ44" s="45">
        <f t="shared" si="16"/>
        <v>0</v>
      </c>
      <c r="AK44" s="37"/>
      <c r="AL44" s="45">
        <f>(AL43+(AL43*Lüderitz_PopulationGrowthRate))+('4. Lüderitz Population Calc'!V44*Resident_Job_Multiplier)</f>
        <v>37687.139407400246</v>
      </c>
      <c r="AM44" s="45">
        <f>(AM43+(AM43*Lüderitz_PopulationGrowthRate))+('4. Lüderitz Population Calc'!W44*'2. Control Panel - Lüderitz'!$G$12)</f>
        <v>56533.991561697272</v>
      </c>
      <c r="AN44" s="45">
        <f>(AN43+(AN43*Lüderitz_PopulationGrowthRate))+('4. Lüderitz Population Calc'!Y44*'2. Control Panel - Lüderitz'!$G$12)+Z44</f>
        <v>43499.678107767053</v>
      </c>
      <c r="AO44" s="45">
        <f>(AO43+(AO43*'2. Control Panel - Lüderitz'!$D$10))+('4. Lüderitz Population Calc'!AB44*'2. Control Panel - Lüderitz'!$G$12)</f>
        <v>88104.294400286759</v>
      </c>
      <c r="AP44" s="45">
        <f>(AP43+(AP43*'2. Control Panel - Lüderitz'!$D$10))+('4. Lüderitz Population Calc'!AD44*'2. Control Panel - Lüderitz'!$G$12)+AE44</f>
        <v>62346.530262064116</v>
      </c>
      <c r="AQ44" s="45">
        <f>(AQ43+(AQ43*'2. Control Panel - Lüderitz'!$D$10))+('4. Lüderitz Population Calc'!AF44*'2. Control Panel - Lüderitz'!$G$12)</f>
        <v>106951.14655458381</v>
      </c>
      <c r="AR44" s="45">
        <f>(AR43+(AR43*'2. Control Panel - Lüderitz'!$D$10))+('4. Lüderitz Population Calc'!AH44*'2. Control Panel - Lüderitz'!$G$12)+(AI44-AI43)</f>
        <v>106951.14655458381</v>
      </c>
      <c r="AS44" s="45">
        <f>(AS43+(AS43*'2. Control Panel - Lüderitz'!$D$10))+('4. Lüderitz Population Calc'!AJ44*'2. Control Panel - Lüderitz'!$G$12)</f>
        <v>106951.14655458381</v>
      </c>
      <c r="AU44" s="45">
        <f t="shared" si="2"/>
        <v>37687.139407400246</v>
      </c>
      <c r="AV44" s="45">
        <f t="shared" si="3"/>
        <v>56533.991561697272</v>
      </c>
      <c r="AW44" s="45">
        <f>(AW43+(AW43*'2. Control Panel - Lüderitz'!$D$10))+('4. Lüderitz Population Calc'!Y44*Resident_Job_Multiplier)</f>
        <v>37687.139407400246</v>
      </c>
      <c r="AX44" s="45">
        <f>(AX43+(AX43*Lüderitz_PopulationGrowthRate))+('4. Lüderitz Population Calc'!Y44*Resident_Job_Multiplier)+(Z44*Resident__Job_Multiplier_wO_H2_worker)</f>
        <v>47452.204424016483</v>
      </c>
      <c r="AY44" s="45">
        <f>(AY43+(AY43*Lüderitz_PopulationGrowthRate))+('4. Lüderitz Population Calc'!AD44*Resident_Job_Multiplier)</f>
        <v>56533.991561697272</v>
      </c>
      <c r="AZ44" s="45">
        <f>(AZ43+(AZ43*Lüderitz_PopulationGrowthRate))+('4. Lüderitz Population Calc'!AD44*Resident_Job_Multiplier)+((AF44-AD44)*Resident__Job_Multiplier_wO_H2_worker)</f>
        <v>93683.474188034743</v>
      </c>
      <c r="BA44" s="45">
        <f>(BA43+(BA43*Lüderitz_PopulationGrowthRate))+('4. Lüderitz Population Calc'!AD44*Resident_Job_Multiplier)+((AF44-AD44)*Resident__Job_Multiplier_wO_H2_worker)</f>
        <v>93683.474188034743</v>
      </c>
      <c r="BB44" s="45">
        <f>(BB43+(BB43*Lüderitz_PopulationGrowthRate))+('4. Lüderitz Population Calc'!AD44*Resident_Job_Multiplier)+((AF44-AD44)*Resident__Job_Multiplier_wO_H2_worker)+((AI44-AI43)*Resident__Job_Multiplier_wO_H2_worker)</f>
        <v>93683.474188034743</v>
      </c>
    </row>
    <row r="45" spans="2:54" x14ac:dyDescent="0.2">
      <c r="B45" s="44">
        <f t="shared" si="4"/>
        <v>2039</v>
      </c>
      <c r="C45" s="45">
        <f>C44+(C44*'2. Control Panel - Lüderitz'!$D$10)</f>
        <v>22740.987034957601</v>
      </c>
      <c r="D45" s="37"/>
      <c r="E45" s="45">
        <f>IF(B45&lt;'3. Lüderitz Industry'!$C$12,"",IF('4. Lüderitz Population Calc'!B45&lt;'3. Lüderitz Industry'!$C$16,'3. Lüderitz Industry'!$D$15,IF('4. Lüderitz Population Calc'!B45&lt;'3. Lüderitz Industry'!$C$17,'3. Lüderitz Industry'!$D$16,'3. Lüderitz Industry'!$D$17)))</f>
        <v>600</v>
      </c>
      <c r="F45" s="45">
        <f>IF(B45&lt;'3. Lüderitz Industry'!$C$12,"",IF('4. Lüderitz Population Calc'!B45&lt;'3. Lüderitz Industry'!$C$16,'3. Lüderitz Industry'!$E$15,IF('4. Lüderitz Population Calc'!B45&lt;'3. Lüderitz Industry'!$C$17,'3. Lüderitz Industry'!$E$16,'3. Lüderitz Industry'!$E$17)))</f>
        <v>1500</v>
      </c>
      <c r="G45" s="45">
        <f>IF(B45&lt;'3. Lüderitz Industry'!$C$26,"",IF(B45&lt;'3. Lüderitz Industry'!$C$27,'3. Lüderitz Industry'!$D$26,IF('4. Lüderitz Population Calc'!B45&lt;'3. Lüderitz Industry'!$C$28,'3. Lüderitz Industry'!$D$27,'3. Lüderitz Industry'!$D$28)))</f>
        <v>874.28571428571422</v>
      </c>
      <c r="H45" s="45">
        <f>IF(B45&lt;'3. Lüderitz Industry'!$C$26,"",IF(B45&lt;'3. Lüderitz Industry'!$C$27,'3. Lüderitz Industry'!$E$26,IF('4. Lüderitz Population Calc'!B45&lt;'3. Lüderitz Industry'!$C$28,'3. Lüderitz Industry'!$E$27,'3. Lüderitz Industry'!$E$28)))</f>
        <v>2185.7142857142853</v>
      </c>
      <c r="I45" s="45">
        <f>IF(B45&lt;'3. Lüderitz Industry'!$C$32,"",'3. Lüderitz Industry'!$C$33)</f>
        <v>310</v>
      </c>
      <c r="J45" s="45">
        <f>IF(B45&lt;'3. Lüderitz Industry'!$C$38,"",'3. Lüderitz Industry'!$C$39)</f>
        <v>50</v>
      </c>
      <c r="K45" s="45">
        <f>IF(B45&lt;'3. Lüderitz Industry'!$C$45,"",'3. Lüderitz Industry'!$C$46)</f>
        <v>0</v>
      </c>
      <c r="L45" s="45">
        <f>IF(B45&lt;'3. Lüderitz Industry'!$C$52,"",'3. Lüderitz Industry'!$C$53)</f>
        <v>200</v>
      </c>
      <c r="M45" s="45">
        <f>IF(B45&lt;'3. Lüderitz Industry'!$I$11,"",'3. Lüderitz Industry'!$I$12)</f>
        <v>7000</v>
      </c>
      <c r="N45" s="45">
        <f>IF(B45&lt;'3. Lüderitz Industry'!$I$17,"",'3. Lüderitz Industry'!$I$18)</f>
        <v>0</v>
      </c>
      <c r="O45" s="45">
        <f>IF(B45&lt;'3. Lüderitz Industry'!$I$23,"",'3. Lüderitz Industry'!$I$24)</f>
        <v>0</v>
      </c>
      <c r="P45" s="45">
        <f>IF(B45&lt;'3. Lüderitz Industry'!$I$29,"",'3. Lüderitz Industry'!$I$30)</f>
        <v>0</v>
      </c>
      <c r="Q45" s="45">
        <f>IF(B45&lt;'3. Lüderitz Industry'!$L$12,"",IF('4. Lüderitz Population Calc'!B45&lt;'3. Lüderitz Industry'!$L$13,'3. Lüderitz Industry'!$O$12,IF('4. Lüderitz Population Calc'!B45&lt;'3. Lüderitz Industry'!$L$14,'3. Lüderitz Industry'!$O$13,'3. Lüderitz Industry'!$O$14)))</f>
        <v>0</v>
      </c>
      <c r="R45" s="45">
        <f>IF(B45&lt;'3. Lüderitz Industry'!$L$12,"",IF('4. Lüderitz Population Calc'!B45&lt;'3. Lüderitz Industry'!$L$13,'3. Lüderitz Industry'!$N$12,IF('4. Lüderitz Population Calc'!B45&lt;'3. Lüderitz Industry'!$L$14,'3. Lüderitz Industry'!$N$13,'3. Lüderitz Industry'!$N$14)))</f>
        <v>3000</v>
      </c>
      <c r="S45" s="45">
        <f>IF(B45&lt;'3. Lüderitz Industry'!$L$20,"",IF('4. Lüderitz Population Calc'!B45&lt;'3. Lüderitz Industry'!$L$21,'3. Lüderitz Industry'!$P$20,IF('4. Lüderitz Population Calc'!B45&lt;'3. Lüderitz Industry'!$L$22,'3. Lüderitz Industry'!$P$21,'3. Lüderitz Industry'!$P$22)))</f>
        <v>0</v>
      </c>
      <c r="T45" s="45">
        <f>IF(B45&lt;'3. Lüderitz Industry'!$L$20,"",IF('4. Lüderitz Population Calc'!B45&lt;'3. Lüderitz Industry'!$L$21,'3. Lüderitz Industry'!$O$20,IF('4. Lüderitz Population Calc'!B45&lt;'3. Lüderitz Industry'!$L$22,'3. Lüderitz Industry'!$O$21,'3. Lüderitz Industry'!$O$22)))</f>
        <v>0</v>
      </c>
      <c r="U45" s="37"/>
      <c r="V45" s="45">
        <f t="shared" si="17"/>
        <v>0</v>
      </c>
      <c r="W45" s="45">
        <f t="shared" si="5"/>
        <v>0</v>
      </c>
      <c r="X45" s="45">
        <f t="shared" si="6"/>
        <v>0</v>
      </c>
      <c r="Y45" s="45">
        <f t="shared" si="7"/>
        <v>0</v>
      </c>
      <c r="Z45" s="45">
        <f t="shared" si="8"/>
        <v>0</v>
      </c>
      <c r="AA45" s="45">
        <f>IF(B45&lt;'3. Lüderitz Industry'!$L$12,"0",IF('4. Lüderitz Population Calc'!B45&lt;'3. Lüderitz Industry'!$L$13,'3. Lüderitz Industry'!$M$12,IF('4. Lüderitz Population Calc'!B45&lt;'3. Lüderitz Industry'!$L$14,'3. Lüderitz Industry'!$M$13,('3. Lüderitz Industry'!$M$14+'3. Lüderitz Industry'!$M$13))))</f>
        <v>18000</v>
      </c>
      <c r="AB45" s="45">
        <f t="shared" si="9"/>
        <v>0</v>
      </c>
      <c r="AC45" s="45">
        <f t="shared" si="10"/>
        <v>0</v>
      </c>
      <c r="AD45" s="45">
        <f t="shared" si="11"/>
        <v>0</v>
      </c>
      <c r="AE45" s="45">
        <f t="shared" si="12"/>
        <v>0</v>
      </c>
      <c r="AF45" s="45">
        <f t="shared" si="13"/>
        <v>0</v>
      </c>
      <c r="AG45" s="45">
        <f t="shared" si="14"/>
        <v>0</v>
      </c>
      <c r="AH45" s="45">
        <f t="shared" si="15"/>
        <v>0</v>
      </c>
      <c r="AI45" s="45">
        <f>IF(B45&lt;'3. Lüderitz Industry'!$L$20,"0",IF('4. Lüderitz Population Calc'!B45&lt;'3. Lüderitz Industry'!$L$21,'3. Lüderitz Industry'!$O$20,IF('4. Lüderitz Population Calc'!B45&lt;'3. Lüderitz Industry'!$L$22,'3. Lüderitz Industry'!$O$21,('3. Lüderitz Industry'!$O$21+'3. Lüderitz Industry'!$O$22))))</f>
        <v>0</v>
      </c>
      <c r="AJ45" s="45">
        <f t="shared" si="16"/>
        <v>0</v>
      </c>
      <c r="AK45" s="37"/>
      <c r="AL45" s="45">
        <f>(AL44+(AL44*Lüderitz_PopulationGrowthRate))+('4. Lüderitz Population Calc'!V45*Resident_Job_Multiplier)</f>
        <v>38478.569334955653</v>
      </c>
      <c r="AM45" s="45">
        <f>(AM44+(AM44*Lüderitz_PopulationGrowthRate))+('4. Lüderitz Population Calc'!W45*'2. Control Panel - Lüderitz'!$G$12)</f>
        <v>57721.205384492918</v>
      </c>
      <c r="AN45" s="45">
        <f>(AN44+(AN44*Lüderitz_PopulationGrowthRate))+('4. Lüderitz Population Calc'!Y45*'2. Control Panel - Lüderitz'!$G$12)+Z45</f>
        <v>44413.171348030162</v>
      </c>
      <c r="AO45" s="45">
        <f>(AO44+(AO44*'2. Control Panel - Lüderitz'!$D$10))+('4. Lüderitz Population Calc'!AB45*'2. Control Panel - Lüderitz'!$G$12)</f>
        <v>89954.484582692778</v>
      </c>
      <c r="AP45" s="45">
        <f>(AP44+(AP44*'2. Control Panel - Lüderitz'!$D$10))+('4. Lüderitz Population Calc'!AD45*'2. Control Panel - Lüderitz'!$G$12)+AE45</f>
        <v>63655.807397567463</v>
      </c>
      <c r="AQ45" s="45">
        <f>(AQ44+(AQ44*'2. Control Panel - Lüderitz'!$D$10))+('4. Lüderitz Population Calc'!AF45*'2. Control Panel - Lüderitz'!$G$12)</f>
        <v>109197.12063223007</v>
      </c>
      <c r="AR45" s="45">
        <f>(AR44+(AR44*'2. Control Panel - Lüderitz'!$D$10))+('4. Lüderitz Population Calc'!AH45*'2. Control Panel - Lüderitz'!$G$12)+(AI45-AI44)</f>
        <v>109197.12063223007</v>
      </c>
      <c r="AS45" s="45">
        <f>(AS44+(AS44*'2. Control Panel - Lüderitz'!$D$10))+('4. Lüderitz Population Calc'!AJ45*'2. Control Panel - Lüderitz'!$G$12)</f>
        <v>109197.12063223007</v>
      </c>
      <c r="AU45" s="45">
        <f t="shared" si="2"/>
        <v>38478.569334955653</v>
      </c>
      <c r="AV45" s="45">
        <f t="shared" si="3"/>
        <v>57721.205384492918</v>
      </c>
      <c r="AW45" s="45">
        <f>(AW44+(AW44*'2. Control Panel - Lüderitz'!$D$10))+('4. Lüderitz Population Calc'!Y45*Resident_Job_Multiplier)</f>
        <v>38478.569334955653</v>
      </c>
      <c r="AX45" s="45">
        <f>(AX44+(AX44*Lüderitz_PopulationGrowthRate))+('4. Lüderitz Population Calc'!Y45*Resident_Job_Multiplier)+(Z45*Resident__Job_Multiplier_wO_H2_worker)</f>
        <v>48448.70071692083</v>
      </c>
      <c r="AY45" s="45">
        <f>(AY44+(AY44*Lüderitz_PopulationGrowthRate))+('4. Lüderitz Population Calc'!AD45*Resident_Job_Multiplier)</f>
        <v>57721.205384492918</v>
      </c>
      <c r="AZ45" s="45">
        <f>(AZ44+(AZ44*Lüderitz_PopulationGrowthRate))+('4. Lüderitz Population Calc'!AD45*Resident_Job_Multiplier)+((AF45-AD45)*Resident__Job_Multiplier_wO_H2_worker)</f>
        <v>95650.82714598348</v>
      </c>
      <c r="BA45" s="45">
        <f>(BA44+(BA44*Lüderitz_PopulationGrowthRate))+('4. Lüderitz Population Calc'!AD45*Resident_Job_Multiplier)+((AF45-AD45)*Resident__Job_Multiplier_wO_H2_worker)</f>
        <v>95650.82714598348</v>
      </c>
      <c r="BB45" s="45">
        <f>(BB44+(BB44*Lüderitz_PopulationGrowthRate))+('4. Lüderitz Population Calc'!AD45*Resident_Job_Multiplier)+((AF45-AD45)*Resident__Job_Multiplier_wO_H2_worker)+((AI45-AI44)*Resident__Job_Multiplier_wO_H2_worker)</f>
        <v>95650.82714598348</v>
      </c>
    </row>
    <row r="46" spans="2:54" x14ac:dyDescent="0.2">
      <c r="B46" s="44">
        <f t="shared" si="4"/>
        <v>2040</v>
      </c>
      <c r="C46" s="45">
        <f>C45+(C45*'2. Control Panel - Lüderitz'!$D$10)</f>
        <v>23218.547762691713</v>
      </c>
      <c r="D46" s="37"/>
      <c r="E46" s="45">
        <f>IF(B46&lt;'3. Lüderitz Industry'!$C$12,"",IF('4. Lüderitz Population Calc'!B46&lt;'3. Lüderitz Industry'!$C$16,'3. Lüderitz Industry'!$D$15,IF('4. Lüderitz Population Calc'!B46&lt;'3. Lüderitz Industry'!$C$17,'3. Lüderitz Industry'!$D$16,'3. Lüderitz Industry'!$D$17)))</f>
        <v>600</v>
      </c>
      <c r="F46" s="45">
        <f>IF(B46&lt;'3. Lüderitz Industry'!$C$12,"",IF('4. Lüderitz Population Calc'!B46&lt;'3. Lüderitz Industry'!$C$16,'3. Lüderitz Industry'!$E$15,IF('4. Lüderitz Population Calc'!B46&lt;'3. Lüderitz Industry'!$C$17,'3. Lüderitz Industry'!$E$16,'3. Lüderitz Industry'!$E$17)))</f>
        <v>1500</v>
      </c>
      <c r="G46" s="45">
        <f>IF(B46&lt;'3. Lüderitz Industry'!$C$26,"",IF(B46&lt;'3. Lüderitz Industry'!$C$27,'3. Lüderitz Industry'!$D$26,IF('4. Lüderitz Population Calc'!B46&lt;'3. Lüderitz Industry'!$C$28,'3. Lüderitz Industry'!$D$27,'3. Lüderitz Industry'!$D$28)))</f>
        <v>874.28571428571422</v>
      </c>
      <c r="H46" s="45">
        <f>IF(B46&lt;'3. Lüderitz Industry'!$C$26,"",IF(B46&lt;'3. Lüderitz Industry'!$C$27,'3. Lüderitz Industry'!$E$26,IF('4. Lüderitz Population Calc'!B46&lt;'3. Lüderitz Industry'!$C$28,'3. Lüderitz Industry'!$E$27,'3. Lüderitz Industry'!$E$28)))</f>
        <v>2185.7142857142853</v>
      </c>
      <c r="I46" s="45">
        <f>IF(B46&lt;'3. Lüderitz Industry'!$C$32,"",'3. Lüderitz Industry'!$C$33)</f>
        <v>310</v>
      </c>
      <c r="J46" s="45">
        <f>IF(B46&lt;'3. Lüderitz Industry'!$C$38,"",'3. Lüderitz Industry'!$C$39)</f>
        <v>50</v>
      </c>
      <c r="K46" s="45">
        <f>IF(B46&lt;'3. Lüderitz Industry'!$C$45,"",'3. Lüderitz Industry'!$C$46)</f>
        <v>0</v>
      </c>
      <c r="L46" s="45">
        <f>IF(B46&lt;'3. Lüderitz Industry'!$C$52,"",'3. Lüderitz Industry'!$C$53)</f>
        <v>200</v>
      </c>
      <c r="M46" s="45">
        <f>IF(B46&lt;'3. Lüderitz Industry'!$I$11,"",'3. Lüderitz Industry'!$I$12)</f>
        <v>7000</v>
      </c>
      <c r="N46" s="45">
        <f>IF(B46&lt;'3. Lüderitz Industry'!$I$17,"",'3. Lüderitz Industry'!$I$18)</f>
        <v>0</v>
      </c>
      <c r="O46" s="45">
        <f>IF(B46&lt;'3. Lüderitz Industry'!$I$23,"",'3. Lüderitz Industry'!$I$24)</f>
        <v>0</v>
      </c>
      <c r="P46" s="45">
        <f>IF(B46&lt;'3. Lüderitz Industry'!$I$29,"",'3. Lüderitz Industry'!$I$30)</f>
        <v>0</v>
      </c>
      <c r="Q46" s="45">
        <f>IF(B46&lt;'3. Lüderitz Industry'!$L$12,"",IF('4. Lüderitz Population Calc'!B46&lt;'3. Lüderitz Industry'!$L$13,'3. Lüderitz Industry'!$O$12,IF('4. Lüderitz Population Calc'!B46&lt;'3. Lüderitz Industry'!$L$14,'3. Lüderitz Industry'!$O$13,'3. Lüderitz Industry'!$O$14)))</f>
        <v>0</v>
      </c>
      <c r="R46" s="45">
        <f>IF(B46&lt;'3. Lüderitz Industry'!$L$12,"",IF('4. Lüderitz Population Calc'!B46&lt;'3. Lüderitz Industry'!$L$13,'3. Lüderitz Industry'!$N$12,IF('4. Lüderitz Population Calc'!B46&lt;'3. Lüderitz Industry'!$L$14,'3. Lüderitz Industry'!$N$13,'3. Lüderitz Industry'!$N$14)))</f>
        <v>3000</v>
      </c>
      <c r="S46" s="45">
        <f>IF(B46&lt;'3. Lüderitz Industry'!$L$20,"",IF('4. Lüderitz Population Calc'!B46&lt;'3. Lüderitz Industry'!$L$21,'3. Lüderitz Industry'!$P$20,IF('4. Lüderitz Population Calc'!B46&lt;'3. Lüderitz Industry'!$L$22,'3. Lüderitz Industry'!$P$21,'3. Lüderitz Industry'!$P$22)))</f>
        <v>0</v>
      </c>
      <c r="T46" s="45">
        <f>IF(B46&lt;'3. Lüderitz Industry'!$L$20,"",IF('4. Lüderitz Population Calc'!B46&lt;'3. Lüderitz Industry'!$L$21,'3. Lüderitz Industry'!$O$20,IF('4. Lüderitz Population Calc'!B46&lt;'3. Lüderitz Industry'!$L$22,'3. Lüderitz Industry'!$O$21,'3. Lüderitz Industry'!$O$22)))</f>
        <v>0</v>
      </c>
      <c r="U46" s="37"/>
      <c r="V46" s="45">
        <f t="shared" si="17"/>
        <v>0</v>
      </c>
      <c r="W46" s="45">
        <f t="shared" si="5"/>
        <v>0</v>
      </c>
      <c r="X46" s="45">
        <f t="shared" si="6"/>
        <v>0</v>
      </c>
      <c r="Y46" s="45">
        <f t="shared" si="7"/>
        <v>0</v>
      </c>
      <c r="Z46" s="45">
        <f t="shared" si="8"/>
        <v>0</v>
      </c>
      <c r="AA46" s="45">
        <f>IF(B46&lt;'3. Lüderitz Industry'!$L$12,"0",IF('4. Lüderitz Population Calc'!B46&lt;'3. Lüderitz Industry'!$L$13,'3. Lüderitz Industry'!$M$12,IF('4. Lüderitz Population Calc'!B46&lt;'3. Lüderitz Industry'!$L$14,'3. Lüderitz Industry'!$M$13,('3. Lüderitz Industry'!$M$14+'3. Lüderitz Industry'!$M$13))))</f>
        <v>18000</v>
      </c>
      <c r="AB46" s="45">
        <f t="shared" si="9"/>
        <v>0</v>
      </c>
      <c r="AC46" s="45">
        <f t="shared" si="10"/>
        <v>0</v>
      </c>
      <c r="AD46" s="45">
        <f t="shared" si="11"/>
        <v>0</v>
      </c>
      <c r="AE46" s="45">
        <f t="shared" si="12"/>
        <v>0</v>
      </c>
      <c r="AF46" s="45">
        <f t="shared" si="13"/>
        <v>0</v>
      </c>
      <c r="AG46" s="45">
        <f t="shared" si="14"/>
        <v>0</v>
      </c>
      <c r="AH46" s="45">
        <f t="shared" si="15"/>
        <v>0</v>
      </c>
      <c r="AI46" s="45">
        <f>IF(B46&lt;'3. Lüderitz Industry'!$L$20,"0",IF('4. Lüderitz Population Calc'!B46&lt;'3. Lüderitz Industry'!$L$21,'3. Lüderitz Industry'!$O$20,IF('4. Lüderitz Population Calc'!B46&lt;'3. Lüderitz Industry'!$L$22,'3. Lüderitz Industry'!$O$21,('3. Lüderitz Industry'!$O$21+'3. Lüderitz Industry'!$O$22))))</f>
        <v>0</v>
      </c>
      <c r="AJ46" s="45">
        <f t="shared" si="16"/>
        <v>0</v>
      </c>
      <c r="AK46" s="37"/>
      <c r="AL46" s="45">
        <f>(AL45+(AL45*Lüderitz_PopulationGrowthRate))+('4. Lüderitz Population Calc'!V46*Resident_Job_Multiplier)</f>
        <v>39286.619290989722</v>
      </c>
      <c r="AM46" s="45">
        <f>(AM45+(AM45*Lüderitz_PopulationGrowthRate))+('4. Lüderitz Population Calc'!W46*'2. Control Panel - Lüderitz'!$G$12)</f>
        <v>58933.350697567272</v>
      </c>
      <c r="AN46" s="45">
        <f>(AN45+(AN45*Lüderitz_PopulationGrowthRate))+('4. Lüderitz Population Calc'!Y46*'2. Control Panel - Lüderitz'!$G$12)+Z46</f>
        <v>45345.847946338799</v>
      </c>
      <c r="AO46" s="45">
        <f>(AO45+(AO45*'2. Control Panel - Lüderitz'!$D$10))+('4. Lüderitz Population Calc'!AB46*'2. Control Panel - Lüderitz'!$G$12)</f>
        <v>91843.528758929329</v>
      </c>
      <c r="AP46" s="45">
        <f>(AP45+(AP45*'2. Control Panel - Lüderitz'!$D$10))+('4. Lüderitz Population Calc'!AD46*'2. Control Panel - Lüderitz'!$G$12)+AE46</f>
        <v>64992.579352916378</v>
      </c>
      <c r="AQ46" s="45">
        <f>(AQ45+(AQ45*'2. Control Panel - Lüderitz'!$D$10))+('4. Lüderitz Population Calc'!AF46*'2. Control Panel - Lüderitz'!$G$12)</f>
        <v>111490.2601655069</v>
      </c>
      <c r="AR46" s="45">
        <f>(AR45+(AR45*'2. Control Panel - Lüderitz'!$D$10))+('4. Lüderitz Population Calc'!AH46*'2. Control Panel - Lüderitz'!$G$12)+(AI46-AI45)</f>
        <v>111490.2601655069</v>
      </c>
      <c r="AS46" s="45">
        <f>(AS45+(AS45*'2. Control Panel - Lüderitz'!$D$10))+('4. Lüderitz Population Calc'!AJ46*'2. Control Panel - Lüderitz'!$G$12)</f>
        <v>111490.2601655069</v>
      </c>
      <c r="AU46" s="45">
        <f t="shared" si="2"/>
        <v>39286.619290989722</v>
      </c>
      <c r="AV46" s="45">
        <f t="shared" si="3"/>
        <v>58933.350697567272</v>
      </c>
      <c r="AW46" s="45">
        <f>(AW45+(AW45*'2. Control Panel - Lüderitz'!$D$10))+('4. Lüderitz Population Calc'!Y46*Resident_Job_Multiplier)</f>
        <v>39286.619290989722</v>
      </c>
      <c r="AX46" s="45">
        <f>(AX45+(AX45*Lüderitz_PopulationGrowthRate))+('4. Lüderitz Population Calc'!Y46*Resident_Job_Multiplier)+(Z46*Resident__Job_Multiplier_wO_H2_worker)</f>
        <v>49466.123431976164</v>
      </c>
      <c r="AY46" s="45">
        <f>(AY45+(AY45*Lüderitz_PopulationGrowthRate))+('4. Lüderitz Population Calc'!AD46*Resident_Job_Multiplier)</f>
        <v>58933.350697567272</v>
      </c>
      <c r="AZ46" s="45">
        <f>(AZ45+(AZ45*Lüderitz_PopulationGrowthRate))+('4. Lüderitz Population Calc'!AD46*Resident_Job_Multiplier)+((AF46-AD46)*Resident__Job_Multiplier_wO_H2_worker)</f>
        <v>97659.494516049133</v>
      </c>
      <c r="BA46" s="45">
        <f>(BA45+(BA45*Lüderitz_PopulationGrowthRate))+('4. Lüderitz Population Calc'!AD46*Resident_Job_Multiplier)+((AF46-AD46)*Resident__Job_Multiplier_wO_H2_worker)</f>
        <v>97659.494516049133</v>
      </c>
      <c r="BB46" s="45">
        <f>(BB45+(BB45*Lüderitz_PopulationGrowthRate))+('4. Lüderitz Population Calc'!AD46*Resident_Job_Multiplier)+((AF46-AD46)*Resident__Job_Multiplier_wO_H2_worker)+((AI46-AI45)*Resident__Job_Multiplier_wO_H2_worker)</f>
        <v>97659.494516049133</v>
      </c>
    </row>
    <row r="47" spans="2:54" x14ac:dyDescent="0.2">
      <c r="B47" s="44">
        <f t="shared" si="4"/>
        <v>2041</v>
      </c>
      <c r="C47" s="45">
        <f>C46+(C46*'2. Control Panel - Lüderitz'!$D$10)</f>
        <v>23706.137265708239</v>
      </c>
      <c r="D47" s="37"/>
      <c r="E47" s="45">
        <f>IF(B47&lt;'3. Lüderitz Industry'!$C$12,"",IF('4. Lüderitz Population Calc'!B47&lt;'3. Lüderitz Industry'!$C$16,'3. Lüderitz Industry'!$D$15,IF('4. Lüderitz Population Calc'!B47&lt;'3. Lüderitz Industry'!$C$17,'3. Lüderitz Industry'!$D$16,'3. Lüderitz Industry'!$D$17)))</f>
        <v>600</v>
      </c>
      <c r="F47" s="45">
        <f>IF(B47&lt;'3. Lüderitz Industry'!$C$12,"",IF('4. Lüderitz Population Calc'!B47&lt;'3. Lüderitz Industry'!$C$16,'3. Lüderitz Industry'!$E$15,IF('4. Lüderitz Population Calc'!B47&lt;'3. Lüderitz Industry'!$C$17,'3. Lüderitz Industry'!$E$16,'3. Lüderitz Industry'!$E$17)))</f>
        <v>1500</v>
      </c>
      <c r="G47" s="45">
        <f>IF(B47&lt;'3. Lüderitz Industry'!$C$26,"",IF(B47&lt;'3. Lüderitz Industry'!$C$27,'3. Lüderitz Industry'!$D$26,IF('4. Lüderitz Population Calc'!B47&lt;'3. Lüderitz Industry'!$C$28,'3. Lüderitz Industry'!$D$27,'3. Lüderitz Industry'!$D$28)))</f>
        <v>874.28571428571422</v>
      </c>
      <c r="H47" s="45">
        <f>IF(B47&lt;'3. Lüderitz Industry'!$C$26,"",IF(B47&lt;'3. Lüderitz Industry'!$C$27,'3. Lüderitz Industry'!$E$26,IF('4. Lüderitz Population Calc'!B47&lt;'3. Lüderitz Industry'!$C$28,'3. Lüderitz Industry'!$E$27,'3. Lüderitz Industry'!$E$28)))</f>
        <v>2185.7142857142853</v>
      </c>
      <c r="I47" s="45">
        <f>IF(B47&lt;'3. Lüderitz Industry'!$C$32,"",'3. Lüderitz Industry'!$C$33)</f>
        <v>310</v>
      </c>
      <c r="J47" s="45">
        <f>IF(B47&lt;'3. Lüderitz Industry'!$C$38,"",'3. Lüderitz Industry'!$C$39)</f>
        <v>50</v>
      </c>
      <c r="K47" s="45">
        <f>IF(B47&lt;'3. Lüderitz Industry'!$C$45,"",'3. Lüderitz Industry'!$C$46)</f>
        <v>0</v>
      </c>
      <c r="L47" s="45">
        <f>IF(B47&lt;'3. Lüderitz Industry'!$C$52,"",'3. Lüderitz Industry'!$C$53)</f>
        <v>200</v>
      </c>
      <c r="M47" s="45">
        <f>IF(B47&lt;'3. Lüderitz Industry'!$I$11,"",'3. Lüderitz Industry'!$I$12)</f>
        <v>7000</v>
      </c>
      <c r="N47" s="45">
        <f>IF(B47&lt;'3. Lüderitz Industry'!$I$17,"",'3. Lüderitz Industry'!$I$18)</f>
        <v>0</v>
      </c>
      <c r="O47" s="45">
        <f>IF(B47&lt;'3. Lüderitz Industry'!$I$23,"",'3. Lüderitz Industry'!$I$24)</f>
        <v>0</v>
      </c>
      <c r="P47" s="45">
        <f>IF(B47&lt;'3. Lüderitz Industry'!$I$29,"",'3. Lüderitz Industry'!$I$30)</f>
        <v>0</v>
      </c>
      <c r="Q47" s="45">
        <f>IF(B47&lt;'3. Lüderitz Industry'!$L$12,"",IF('4. Lüderitz Population Calc'!B47&lt;'3. Lüderitz Industry'!$L$13,'3. Lüderitz Industry'!$O$12,IF('4. Lüderitz Population Calc'!B47&lt;'3. Lüderitz Industry'!$L$14,'3. Lüderitz Industry'!$O$13,'3. Lüderitz Industry'!$O$14)))</f>
        <v>0</v>
      </c>
      <c r="R47" s="45">
        <f>IF(B47&lt;'3. Lüderitz Industry'!$L$12,"",IF('4. Lüderitz Population Calc'!B47&lt;'3. Lüderitz Industry'!$L$13,'3. Lüderitz Industry'!$N$12,IF('4. Lüderitz Population Calc'!B47&lt;'3. Lüderitz Industry'!$L$14,'3. Lüderitz Industry'!$N$13,'3. Lüderitz Industry'!$N$14)))</f>
        <v>3000</v>
      </c>
      <c r="S47" s="45">
        <f>IF(B47&lt;'3. Lüderitz Industry'!$L$20,"",IF('4. Lüderitz Population Calc'!B47&lt;'3. Lüderitz Industry'!$L$21,'3. Lüderitz Industry'!$P$20,IF('4. Lüderitz Population Calc'!B47&lt;'3. Lüderitz Industry'!$L$22,'3. Lüderitz Industry'!$P$21,'3. Lüderitz Industry'!$P$22)))</f>
        <v>0</v>
      </c>
      <c r="T47" s="45">
        <f>IF(B47&lt;'3. Lüderitz Industry'!$L$20,"",IF('4. Lüderitz Population Calc'!B47&lt;'3. Lüderitz Industry'!$L$21,'3. Lüderitz Industry'!$O$20,IF('4. Lüderitz Population Calc'!B47&lt;'3. Lüderitz Industry'!$L$22,'3. Lüderitz Industry'!$O$21,'3. Lüderitz Industry'!$O$22)))</f>
        <v>0</v>
      </c>
      <c r="U47" s="37"/>
      <c r="V47" s="45">
        <f t="shared" si="17"/>
        <v>0</v>
      </c>
      <c r="W47" s="45">
        <f t="shared" si="5"/>
        <v>0</v>
      </c>
      <c r="X47" s="45">
        <f t="shared" si="6"/>
        <v>0</v>
      </c>
      <c r="Y47" s="45">
        <f t="shared" si="7"/>
        <v>0</v>
      </c>
      <c r="Z47" s="45">
        <f t="shared" si="8"/>
        <v>0</v>
      </c>
      <c r="AA47" s="45">
        <f>IF(B47&lt;'3. Lüderitz Industry'!$L$12,"0",IF('4. Lüderitz Population Calc'!B47&lt;'3. Lüderitz Industry'!$L$13,'3. Lüderitz Industry'!$M$12,IF('4. Lüderitz Population Calc'!B47&lt;'3. Lüderitz Industry'!$L$14,'3. Lüderitz Industry'!$M$13,('3. Lüderitz Industry'!$M$14+'3. Lüderitz Industry'!$M$13))))</f>
        <v>18000</v>
      </c>
      <c r="AB47" s="45">
        <f t="shared" si="9"/>
        <v>0</v>
      </c>
      <c r="AC47" s="45">
        <f t="shared" si="10"/>
        <v>0</v>
      </c>
      <c r="AD47" s="45">
        <f t="shared" si="11"/>
        <v>0</v>
      </c>
      <c r="AE47" s="45">
        <f t="shared" si="12"/>
        <v>0</v>
      </c>
      <c r="AF47" s="45">
        <f t="shared" si="13"/>
        <v>0</v>
      </c>
      <c r="AG47" s="45">
        <f t="shared" si="14"/>
        <v>0</v>
      </c>
      <c r="AH47" s="45">
        <f t="shared" si="15"/>
        <v>0</v>
      </c>
      <c r="AI47" s="45">
        <f>IF(B47&lt;'3. Lüderitz Industry'!$L$20,"0",IF('4. Lüderitz Population Calc'!B47&lt;'3. Lüderitz Industry'!$L$21,'3. Lüderitz Industry'!$O$20,IF('4. Lüderitz Population Calc'!B47&lt;'3. Lüderitz Industry'!$L$22,'3. Lüderitz Industry'!$O$21,('3. Lüderitz Industry'!$O$21+'3. Lüderitz Industry'!$O$22))))</f>
        <v>0</v>
      </c>
      <c r="AJ47" s="45">
        <f t="shared" si="16"/>
        <v>0</v>
      </c>
      <c r="AK47" s="37"/>
      <c r="AL47" s="45">
        <f>(AL46+(AL46*Lüderitz_PopulationGrowthRate))+('4. Lüderitz Population Calc'!V47*Resident_Job_Multiplier)</f>
        <v>40111.638296100507</v>
      </c>
      <c r="AM47" s="45">
        <f>(AM46+(AM46*Lüderitz_PopulationGrowthRate))+('4. Lüderitz Population Calc'!W47*'2. Control Panel - Lüderitz'!$G$12)</f>
        <v>60170.951062216183</v>
      </c>
      <c r="AN47" s="45">
        <f>(AN46+(AN46*Lüderitz_PopulationGrowthRate))+('4. Lüderitz Population Calc'!Y47*'2. Control Panel - Lüderitz'!$G$12)+Z47</f>
        <v>46298.110753211913</v>
      </c>
      <c r="AO47" s="45">
        <f>(AO46+(AO46*'2. Control Panel - Lüderitz'!$D$10))+('4. Lüderitz Population Calc'!AB47*'2. Control Panel - Lüderitz'!$G$12)</f>
        <v>93772.242862866842</v>
      </c>
      <c r="AP47" s="45">
        <f>(AP46+(AP46*'2. Control Panel - Lüderitz'!$D$10))+('4. Lüderitz Population Calc'!AD47*'2. Control Panel - Lüderitz'!$G$12)+AE47</f>
        <v>66357.423519327625</v>
      </c>
      <c r="AQ47" s="45">
        <f>(AQ46+(AQ46*'2. Control Panel - Lüderitz'!$D$10))+('4. Lüderitz Population Calc'!AF47*'2. Control Panel - Lüderitz'!$G$12)</f>
        <v>113831.55562898255</v>
      </c>
      <c r="AR47" s="45">
        <f>(AR46+(AR46*'2. Control Panel - Lüderitz'!$D$10))+('4. Lüderitz Population Calc'!AH47*'2. Control Panel - Lüderitz'!$G$12)+(AI47-AI46)</f>
        <v>113831.55562898255</v>
      </c>
      <c r="AS47" s="45">
        <f>(AS46+(AS46*'2. Control Panel - Lüderitz'!$D$10))+('4. Lüderitz Population Calc'!AJ47*'2. Control Panel - Lüderitz'!$G$12)</f>
        <v>113831.55562898255</v>
      </c>
      <c r="AU47" s="45">
        <f t="shared" si="2"/>
        <v>40111.638296100507</v>
      </c>
      <c r="AV47" s="45">
        <f t="shared" si="3"/>
        <v>60170.951062216183</v>
      </c>
      <c r="AW47" s="45">
        <f>(AW46+(AW46*'2. Control Panel - Lüderitz'!$D$10))+('4. Lüderitz Population Calc'!Y47*Resident_Job_Multiplier)</f>
        <v>40111.638296100507</v>
      </c>
      <c r="AX47" s="45">
        <f>(AX46+(AX46*Lüderitz_PopulationGrowthRate))+('4. Lüderitz Population Calc'!Y47*Resident_Job_Multiplier)+(Z47*Resident__Job_Multiplier_wO_H2_worker)</f>
        <v>50504.912024047662</v>
      </c>
      <c r="AY47" s="45">
        <f>(AY46+(AY46*Lüderitz_PopulationGrowthRate))+('4. Lüderitz Population Calc'!AD47*Resident_Job_Multiplier)</f>
        <v>60170.951062216183</v>
      </c>
      <c r="AZ47" s="45">
        <f>(AZ46+(AZ46*Lüderitz_PopulationGrowthRate))+('4. Lüderitz Population Calc'!AD47*Resident_Job_Multiplier)+((AF47-AD47)*Resident__Job_Multiplier_wO_H2_worker)</f>
        <v>99710.343900886161</v>
      </c>
      <c r="BA47" s="45">
        <f>(BA46+(BA46*Lüderitz_PopulationGrowthRate))+('4. Lüderitz Population Calc'!AD47*Resident_Job_Multiplier)+((AF47-AD47)*Resident__Job_Multiplier_wO_H2_worker)</f>
        <v>99710.343900886161</v>
      </c>
      <c r="BB47" s="45">
        <f>(BB46+(BB46*Lüderitz_PopulationGrowthRate))+('4. Lüderitz Population Calc'!AD47*Resident_Job_Multiplier)+((AF47-AD47)*Resident__Job_Multiplier_wO_H2_worker)+((AI47-AI46)*Resident__Job_Multiplier_wO_H2_worker)</f>
        <v>99710.343900886161</v>
      </c>
    </row>
    <row r="48" spans="2:54" x14ac:dyDescent="0.2">
      <c r="B48" s="44">
        <f t="shared" si="4"/>
        <v>2042</v>
      </c>
      <c r="C48" s="45">
        <f>C47+(C47*'2. Control Panel - Lüderitz'!$D$10)</f>
        <v>24203.966148288113</v>
      </c>
      <c r="D48" s="37"/>
      <c r="E48" s="45">
        <f>IF(B48&lt;'3. Lüderitz Industry'!$C$12,"",IF('4. Lüderitz Population Calc'!B48&lt;'3. Lüderitz Industry'!$C$16,'3. Lüderitz Industry'!$D$15,IF('4. Lüderitz Population Calc'!B48&lt;'3. Lüderitz Industry'!$C$17,'3. Lüderitz Industry'!$D$16,'3. Lüderitz Industry'!$D$17)))</f>
        <v>600</v>
      </c>
      <c r="F48" s="45">
        <f>IF(B48&lt;'3. Lüderitz Industry'!$C$12,"",IF('4. Lüderitz Population Calc'!B48&lt;'3. Lüderitz Industry'!$C$16,'3. Lüderitz Industry'!$E$15,IF('4. Lüderitz Population Calc'!B48&lt;'3. Lüderitz Industry'!$C$17,'3. Lüderitz Industry'!$E$16,'3. Lüderitz Industry'!$E$17)))</f>
        <v>1500</v>
      </c>
      <c r="G48" s="45">
        <f>IF(B48&lt;'3. Lüderitz Industry'!$C$26,"",IF(B48&lt;'3. Lüderitz Industry'!$C$27,'3. Lüderitz Industry'!$D$26,IF('4. Lüderitz Population Calc'!B48&lt;'3. Lüderitz Industry'!$C$28,'3. Lüderitz Industry'!$D$27,'3. Lüderitz Industry'!$D$28)))</f>
        <v>874.28571428571422</v>
      </c>
      <c r="H48" s="45">
        <f>IF(B48&lt;'3. Lüderitz Industry'!$C$26,"",IF(B48&lt;'3. Lüderitz Industry'!$C$27,'3. Lüderitz Industry'!$E$26,IF('4. Lüderitz Population Calc'!B48&lt;'3. Lüderitz Industry'!$C$28,'3. Lüderitz Industry'!$E$27,'3. Lüderitz Industry'!$E$28)))</f>
        <v>2185.7142857142853</v>
      </c>
      <c r="I48" s="45">
        <f>IF(B48&lt;'3. Lüderitz Industry'!$C$32,"",'3. Lüderitz Industry'!$C$33)</f>
        <v>310</v>
      </c>
      <c r="J48" s="45">
        <f>IF(B48&lt;'3. Lüderitz Industry'!$C$38,"",'3. Lüderitz Industry'!$C$39)</f>
        <v>50</v>
      </c>
      <c r="K48" s="45">
        <f>IF(B48&lt;'3. Lüderitz Industry'!$C$45,"",'3. Lüderitz Industry'!$C$46)</f>
        <v>0</v>
      </c>
      <c r="L48" s="45">
        <f>IF(B48&lt;'3. Lüderitz Industry'!$C$52,"",'3. Lüderitz Industry'!$C$53)</f>
        <v>200</v>
      </c>
      <c r="M48" s="45">
        <f>IF(B48&lt;'3. Lüderitz Industry'!$I$11,"",'3. Lüderitz Industry'!$I$12)</f>
        <v>7000</v>
      </c>
      <c r="N48" s="45">
        <f>IF(B48&lt;'3. Lüderitz Industry'!$I$17,"",'3. Lüderitz Industry'!$I$18)</f>
        <v>0</v>
      </c>
      <c r="O48" s="45">
        <f>IF(B48&lt;'3. Lüderitz Industry'!$I$23,"",'3. Lüderitz Industry'!$I$24)</f>
        <v>0</v>
      </c>
      <c r="P48" s="45">
        <f>IF(B48&lt;'3. Lüderitz Industry'!$I$29,"",'3. Lüderitz Industry'!$I$30)</f>
        <v>0</v>
      </c>
      <c r="Q48" s="45">
        <f>IF(B48&lt;'3. Lüderitz Industry'!$L$12,"",IF('4. Lüderitz Population Calc'!B48&lt;'3. Lüderitz Industry'!$L$13,'3. Lüderitz Industry'!$O$12,IF('4. Lüderitz Population Calc'!B48&lt;'3. Lüderitz Industry'!$L$14,'3. Lüderitz Industry'!$O$13,'3. Lüderitz Industry'!$O$14)))</f>
        <v>0</v>
      </c>
      <c r="R48" s="45">
        <f>IF(B48&lt;'3. Lüderitz Industry'!$L$12,"",IF('4. Lüderitz Population Calc'!B48&lt;'3. Lüderitz Industry'!$L$13,'3. Lüderitz Industry'!$N$12,IF('4. Lüderitz Population Calc'!B48&lt;'3. Lüderitz Industry'!$L$14,'3. Lüderitz Industry'!$N$13,'3. Lüderitz Industry'!$N$14)))</f>
        <v>3000</v>
      </c>
      <c r="S48" s="45">
        <f>IF(B48&lt;'3. Lüderitz Industry'!$L$20,"",IF('4. Lüderitz Population Calc'!B48&lt;'3. Lüderitz Industry'!$L$21,'3. Lüderitz Industry'!$P$20,IF('4. Lüderitz Population Calc'!B48&lt;'3. Lüderitz Industry'!$L$22,'3. Lüderitz Industry'!$P$21,'3. Lüderitz Industry'!$P$22)))</f>
        <v>0</v>
      </c>
      <c r="T48" s="45">
        <f>IF(B48&lt;'3. Lüderitz Industry'!$L$20,"",IF('4. Lüderitz Population Calc'!B48&lt;'3. Lüderitz Industry'!$L$21,'3. Lüderitz Industry'!$O$20,IF('4. Lüderitz Population Calc'!B48&lt;'3. Lüderitz Industry'!$L$22,'3. Lüderitz Industry'!$O$21,'3. Lüderitz Industry'!$O$22)))</f>
        <v>3000</v>
      </c>
      <c r="U48" s="37"/>
      <c r="V48" s="45">
        <f t="shared" si="17"/>
        <v>0</v>
      </c>
      <c r="W48" s="45">
        <f t="shared" si="5"/>
        <v>0</v>
      </c>
      <c r="X48" s="45">
        <f t="shared" si="6"/>
        <v>0</v>
      </c>
      <c r="Y48" s="45">
        <f t="shared" si="7"/>
        <v>0</v>
      </c>
      <c r="Z48" s="45">
        <f t="shared" si="8"/>
        <v>0</v>
      </c>
      <c r="AA48" s="45">
        <f>IF(B48&lt;'3. Lüderitz Industry'!$L$12,"0",IF('4. Lüderitz Population Calc'!B48&lt;'3. Lüderitz Industry'!$L$13,'3. Lüderitz Industry'!$M$12,IF('4. Lüderitz Population Calc'!B48&lt;'3. Lüderitz Industry'!$L$14,'3. Lüderitz Industry'!$M$13,('3. Lüderitz Industry'!$M$14+'3. Lüderitz Industry'!$M$13))))</f>
        <v>18000</v>
      </c>
      <c r="AB48" s="45">
        <f t="shared" si="9"/>
        <v>0</v>
      </c>
      <c r="AC48" s="45">
        <f t="shared" si="10"/>
        <v>0</v>
      </c>
      <c r="AD48" s="45">
        <f t="shared" si="11"/>
        <v>0</v>
      </c>
      <c r="AE48" s="45">
        <f t="shared" si="12"/>
        <v>0</v>
      </c>
      <c r="AF48" s="45">
        <f t="shared" si="13"/>
        <v>0</v>
      </c>
      <c r="AG48" s="45">
        <f t="shared" si="14"/>
        <v>3000</v>
      </c>
      <c r="AH48" s="45">
        <f t="shared" si="15"/>
        <v>0</v>
      </c>
      <c r="AI48" s="45">
        <f>IF(B48&lt;'3. Lüderitz Industry'!$L$20,"0",IF('4. Lüderitz Population Calc'!B48&lt;'3. Lüderitz Industry'!$L$21,'3. Lüderitz Industry'!$O$20,IF('4. Lüderitz Population Calc'!B48&lt;'3. Lüderitz Industry'!$L$22,'3. Lüderitz Industry'!$O$21,('3. Lüderitz Industry'!$O$21+'3. Lüderitz Industry'!$O$22))))</f>
        <v>3000</v>
      </c>
      <c r="AJ48" s="45">
        <f t="shared" si="16"/>
        <v>3000</v>
      </c>
      <c r="AK48" s="37"/>
      <c r="AL48" s="45">
        <f>(AL47+(AL47*Lüderitz_PopulationGrowthRate))+('4. Lüderitz Population Calc'!V48*Resident_Job_Multiplier)</f>
        <v>40953.982700318615</v>
      </c>
      <c r="AM48" s="45">
        <f>(AM47+(AM47*Lüderitz_PopulationGrowthRate))+('4. Lüderitz Population Calc'!W48*'2. Control Panel - Lüderitz'!$G$12)</f>
        <v>61434.541034522721</v>
      </c>
      <c r="AN48" s="45">
        <f>(AN47+(AN47*Lüderitz_PopulationGrowthRate))+('4. Lüderitz Population Calc'!Y48*'2. Control Panel - Lüderitz'!$G$12)+Z48</f>
        <v>47270.371079029363</v>
      </c>
      <c r="AO48" s="45">
        <f>(AO47+(AO47*'2. Control Panel - Lüderitz'!$D$10))+('4. Lüderitz Population Calc'!AB48*'2. Control Panel - Lüderitz'!$G$12)</f>
        <v>95741.45996298705</v>
      </c>
      <c r="AP48" s="45">
        <f>(AP47+(AP47*'2. Control Panel - Lüderitz'!$D$10))+('4. Lüderitz Population Calc'!AD48*'2. Control Panel - Lüderitz'!$G$12)+AE48</f>
        <v>67750.929413233505</v>
      </c>
      <c r="AQ48" s="45">
        <f>(AQ47+(AQ47*'2. Control Panel - Lüderitz'!$D$10))+('4. Lüderitz Population Calc'!AF48*'2. Control Panel - Lüderitz'!$G$12)</f>
        <v>116222.01829719119</v>
      </c>
      <c r="AR48" s="45">
        <f>(AR47+(AR47*'2. Control Panel - Lüderitz'!$D$10))+('4. Lüderitz Population Calc'!AH48*'2. Control Panel - Lüderitz'!$G$12)+(AI48-AI47)</f>
        <v>119222.01829719119</v>
      </c>
      <c r="AS48" s="45">
        <f>(AS47+(AS47*'2. Control Panel - Lüderitz'!$D$10))+('4. Lüderitz Population Calc'!AJ48*'2. Control Panel - Lüderitz'!$G$12)</f>
        <v>123062.01829719119</v>
      </c>
      <c r="AU48" s="45">
        <f t="shared" si="2"/>
        <v>40953.982700318615</v>
      </c>
      <c r="AV48" s="45">
        <f t="shared" si="3"/>
        <v>61434.541034522721</v>
      </c>
      <c r="AW48" s="45">
        <f>(AW47+(AW47*'2. Control Panel - Lüderitz'!$D$10))+('4. Lüderitz Population Calc'!Y48*Resident_Job_Multiplier)</f>
        <v>40953.982700318615</v>
      </c>
      <c r="AX48" s="45">
        <f>(AX47+(AX47*Lüderitz_PopulationGrowthRate))+('4. Lüderitz Population Calc'!Y48*Resident_Job_Multiplier)+(Z48*Resident__Job_Multiplier_wO_H2_worker)</f>
        <v>51565.515176552661</v>
      </c>
      <c r="AY48" s="45">
        <f>(AY47+(AY47*Lüderitz_PopulationGrowthRate))+('4. Lüderitz Population Calc'!AD48*Resident_Job_Multiplier)</f>
        <v>61434.541034522721</v>
      </c>
      <c r="AZ48" s="45">
        <f>(AZ47+(AZ47*Lüderitz_PopulationGrowthRate))+('4. Lüderitz Population Calc'!AD48*Resident_Job_Multiplier)+((AF48-AD48)*Resident__Job_Multiplier_wO_H2_worker)</f>
        <v>101804.26112280478</v>
      </c>
      <c r="BA48" s="45">
        <f>(BA47+(BA47*Lüderitz_PopulationGrowthRate))+('4. Lüderitz Population Calc'!AD48*Resident_Job_Multiplier)+((AF48-AD48)*Resident__Job_Multiplier_wO_H2_worker)</f>
        <v>101804.26112280478</v>
      </c>
      <c r="BB48" s="45">
        <f>(BB47+(BB47*Lüderitz_PopulationGrowthRate))+('4. Lüderitz Population Calc'!AD48*Resident_Job_Multiplier)+((AF48-AD48)*Resident__Job_Multiplier_wO_H2_worker)+((AI48-AI47)*Resident__Job_Multiplier_wO_H2_worker)</f>
        <v>106844.26112280478</v>
      </c>
    </row>
    <row r="49" spans="1:54" x14ac:dyDescent="0.2">
      <c r="B49" s="44">
        <f t="shared" si="4"/>
        <v>2043</v>
      </c>
      <c r="C49" s="45">
        <f>C48+(C48*'2. Control Panel - Lüderitz'!$D$10)</f>
        <v>24712.249437402163</v>
      </c>
      <c r="D49" s="37"/>
      <c r="E49" s="45">
        <f>IF(B49&lt;'3. Lüderitz Industry'!$C$12,"",IF('4. Lüderitz Population Calc'!B49&lt;'3. Lüderitz Industry'!$C$16,'3. Lüderitz Industry'!$D$15,IF('4. Lüderitz Population Calc'!B49&lt;'3. Lüderitz Industry'!$C$17,'3. Lüderitz Industry'!$D$16,'3. Lüderitz Industry'!$D$17)))</f>
        <v>600</v>
      </c>
      <c r="F49" s="45">
        <f>IF(B49&lt;'3. Lüderitz Industry'!$C$12,"",IF('4. Lüderitz Population Calc'!B49&lt;'3. Lüderitz Industry'!$C$16,'3. Lüderitz Industry'!$E$15,IF('4. Lüderitz Population Calc'!B49&lt;'3. Lüderitz Industry'!$C$17,'3. Lüderitz Industry'!$E$16,'3. Lüderitz Industry'!$E$17)))</f>
        <v>1500</v>
      </c>
      <c r="G49" s="45">
        <f>IF(B49&lt;'3. Lüderitz Industry'!$C$26,"",IF(B49&lt;'3. Lüderitz Industry'!$C$27,'3. Lüderitz Industry'!$D$26,IF('4. Lüderitz Population Calc'!B49&lt;'3. Lüderitz Industry'!$C$28,'3. Lüderitz Industry'!$D$27,'3. Lüderitz Industry'!$D$28)))</f>
        <v>874.28571428571422</v>
      </c>
      <c r="H49" s="45">
        <f>IF(B49&lt;'3. Lüderitz Industry'!$C$26,"",IF(B49&lt;'3. Lüderitz Industry'!$C$27,'3. Lüderitz Industry'!$E$26,IF('4. Lüderitz Population Calc'!B49&lt;'3. Lüderitz Industry'!$C$28,'3. Lüderitz Industry'!$E$27,'3. Lüderitz Industry'!$E$28)))</f>
        <v>2185.7142857142853</v>
      </c>
      <c r="I49" s="45">
        <f>IF(B49&lt;'3. Lüderitz Industry'!$C$32,"",'3. Lüderitz Industry'!$C$33)</f>
        <v>310</v>
      </c>
      <c r="J49" s="45">
        <f>IF(B49&lt;'3. Lüderitz Industry'!$C$38,"",'3. Lüderitz Industry'!$C$39)</f>
        <v>50</v>
      </c>
      <c r="K49" s="45">
        <f>IF(B49&lt;'3. Lüderitz Industry'!$C$45,"",'3. Lüderitz Industry'!$C$46)</f>
        <v>0</v>
      </c>
      <c r="L49" s="45">
        <f>IF(B49&lt;'3. Lüderitz Industry'!$C$52,"",'3. Lüderitz Industry'!$C$53)</f>
        <v>200</v>
      </c>
      <c r="M49" s="45">
        <f>IF(B49&lt;'3. Lüderitz Industry'!$I$11,"",'3. Lüderitz Industry'!$I$12)</f>
        <v>7000</v>
      </c>
      <c r="N49" s="45">
        <f>IF(B49&lt;'3. Lüderitz Industry'!$I$17,"",'3. Lüderitz Industry'!$I$18)</f>
        <v>0</v>
      </c>
      <c r="O49" s="45">
        <f>IF(B49&lt;'3. Lüderitz Industry'!$I$23,"",'3. Lüderitz Industry'!$I$24)</f>
        <v>0</v>
      </c>
      <c r="P49" s="45">
        <f>IF(B49&lt;'3. Lüderitz Industry'!$I$29,"",'3. Lüderitz Industry'!$I$30)</f>
        <v>0</v>
      </c>
      <c r="Q49" s="45">
        <f>IF(B49&lt;'3. Lüderitz Industry'!$L$12,"",IF('4. Lüderitz Population Calc'!B49&lt;'3. Lüderitz Industry'!$L$13,'3. Lüderitz Industry'!$O$12,IF('4. Lüderitz Population Calc'!B49&lt;'3. Lüderitz Industry'!$L$14,'3. Lüderitz Industry'!$O$13,'3. Lüderitz Industry'!$O$14)))</f>
        <v>0</v>
      </c>
      <c r="R49" s="45">
        <f>IF(B49&lt;'3. Lüderitz Industry'!$L$12,"",IF('4. Lüderitz Population Calc'!B49&lt;'3. Lüderitz Industry'!$L$13,'3. Lüderitz Industry'!$N$12,IF('4. Lüderitz Population Calc'!B49&lt;'3. Lüderitz Industry'!$L$14,'3. Lüderitz Industry'!$N$13,'3. Lüderitz Industry'!$N$14)))</f>
        <v>3000</v>
      </c>
      <c r="S49" s="45">
        <f>IF(B49&lt;'3. Lüderitz Industry'!$L$20,"",IF('4. Lüderitz Population Calc'!B49&lt;'3. Lüderitz Industry'!$L$21,'3. Lüderitz Industry'!$P$20,IF('4. Lüderitz Population Calc'!B49&lt;'3. Lüderitz Industry'!$L$22,'3. Lüderitz Industry'!$P$21,'3. Lüderitz Industry'!$P$22)))</f>
        <v>0</v>
      </c>
      <c r="T49" s="45">
        <f>IF(B49&lt;'3. Lüderitz Industry'!$L$20,"",IF('4. Lüderitz Population Calc'!B49&lt;'3. Lüderitz Industry'!$L$21,'3. Lüderitz Industry'!$O$20,IF('4. Lüderitz Population Calc'!B49&lt;'3. Lüderitz Industry'!$L$22,'3. Lüderitz Industry'!$O$21,'3. Lüderitz Industry'!$O$22)))</f>
        <v>3000</v>
      </c>
      <c r="U49" s="37"/>
      <c r="V49" s="45">
        <f t="shared" si="17"/>
        <v>0</v>
      </c>
      <c r="W49" s="45">
        <f t="shared" si="5"/>
        <v>0</v>
      </c>
      <c r="X49" s="45">
        <f t="shared" si="6"/>
        <v>0</v>
      </c>
      <c r="Y49" s="45">
        <f t="shared" si="7"/>
        <v>0</v>
      </c>
      <c r="Z49" s="45">
        <f t="shared" si="8"/>
        <v>0</v>
      </c>
      <c r="AA49" s="45">
        <f>IF(B49&lt;'3. Lüderitz Industry'!$L$12,"0",IF('4. Lüderitz Population Calc'!B49&lt;'3. Lüderitz Industry'!$L$13,'3. Lüderitz Industry'!$M$12,IF('4. Lüderitz Population Calc'!B49&lt;'3. Lüderitz Industry'!$L$14,'3. Lüderitz Industry'!$M$13,('3. Lüderitz Industry'!$M$14+'3. Lüderitz Industry'!$M$13))))</f>
        <v>18000</v>
      </c>
      <c r="AB49" s="45">
        <f t="shared" si="9"/>
        <v>0</v>
      </c>
      <c r="AC49" s="45">
        <f t="shared" si="10"/>
        <v>0</v>
      </c>
      <c r="AD49" s="45">
        <f t="shared" si="11"/>
        <v>0</v>
      </c>
      <c r="AE49" s="45">
        <f t="shared" si="12"/>
        <v>0</v>
      </c>
      <c r="AF49" s="45">
        <f t="shared" si="13"/>
        <v>0</v>
      </c>
      <c r="AG49" s="45">
        <f t="shared" si="14"/>
        <v>0</v>
      </c>
      <c r="AH49" s="45">
        <f t="shared" si="15"/>
        <v>0</v>
      </c>
      <c r="AI49" s="45">
        <f>IF(B49&lt;'3. Lüderitz Industry'!$L$20,"0",IF('4. Lüderitz Population Calc'!B49&lt;'3. Lüderitz Industry'!$L$21,'3. Lüderitz Industry'!$O$20,IF('4. Lüderitz Population Calc'!B49&lt;'3. Lüderitz Industry'!$L$22,'3. Lüderitz Industry'!$O$21,('3. Lüderitz Industry'!$O$21+'3. Lüderitz Industry'!$O$22))))</f>
        <v>3000</v>
      </c>
      <c r="AJ49" s="45">
        <f t="shared" si="16"/>
        <v>0</v>
      </c>
      <c r="AK49" s="37"/>
      <c r="AL49" s="45">
        <f>(AL48+(AL48*Lüderitz_PopulationGrowthRate))+('4. Lüderitz Population Calc'!V49*Resident_Job_Multiplier)</f>
        <v>41814.016337025307</v>
      </c>
      <c r="AM49" s="45">
        <f>(AM48+(AM48*Lüderitz_PopulationGrowthRate))+('4. Lüderitz Population Calc'!W49*'2. Control Panel - Lüderitz'!$G$12)</f>
        <v>62724.666396247696</v>
      </c>
      <c r="AN49" s="45">
        <f>(AN48+(AN48*Lüderitz_PopulationGrowthRate))+('4. Lüderitz Population Calc'!Y49*'2. Control Panel - Lüderitz'!$G$12)+Z49</f>
        <v>48263.048871688981</v>
      </c>
      <c r="AO49" s="45">
        <f>(AO48+(AO48*'2. Control Panel - Lüderitz'!$D$10))+('4. Lüderitz Population Calc'!AB49*'2. Control Panel - Lüderitz'!$G$12)</f>
        <v>97752.030622209772</v>
      </c>
      <c r="AP49" s="45">
        <f>(AP48+(AP48*'2. Control Panel - Lüderitz'!$D$10))+('4. Lüderitz Population Calc'!AD49*'2. Control Panel - Lüderitz'!$G$12)+AE49</f>
        <v>69173.698930911414</v>
      </c>
      <c r="AQ49" s="45">
        <f>(AQ48+(AQ48*'2. Control Panel - Lüderitz'!$D$10))+('4. Lüderitz Population Calc'!AF49*'2. Control Panel - Lüderitz'!$G$12)</f>
        <v>118662.6806814322</v>
      </c>
      <c r="AR49" s="45">
        <f>(AR48+(AR48*'2. Control Panel - Lüderitz'!$D$10))+('4. Lüderitz Population Calc'!AH49*'2. Control Panel - Lüderitz'!$G$12)+(AI49-AI48)</f>
        <v>121725.6806814322</v>
      </c>
      <c r="AS49" s="45">
        <f>(AS48+(AS48*'2. Control Panel - Lüderitz'!$D$10))+('4. Lüderitz Population Calc'!AJ49*'2. Control Panel - Lüderitz'!$G$12)</f>
        <v>125646.3206814322</v>
      </c>
      <c r="AU49" s="45">
        <f t="shared" si="2"/>
        <v>41814.016337025307</v>
      </c>
      <c r="AV49" s="45">
        <f t="shared" si="3"/>
        <v>62724.666396247696</v>
      </c>
      <c r="AW49" s="45">
        <f>(AW48+(AW48*'2. Control Panel - Lüderitz'!$D$10))+('4. Lüderitz Population Calc'!Y49*Resident_Job_Multiplier)</f>
        <v>41814.016337025307</v>
      </c>
      <c r="AX49" s="45">
        <f>(AX48+(AX48*Lüderitz_PopulationGrowthRate))+('4. Lüderitz Population Calc'!Y49*Resident_Job_Multiplier)+(Z49*Resident__Job_Multiplier_wO_H2_worker)</f>
        <v>52648.39099526027</v>
      </c>
      <c r="AY49" s="45">
        <f>(AY48+(AY48*Lüderitz_PopulationGrowthRate))+('4. Lüderitz Population Calc'!AD49*Resident_Job_Multiplier)</f>
        <v>62724.666396247696</v>
      </c>
      <c r="AZ49" s="45">
        <f>(AZ48+(AZ48*Lüderitz_PopulationGrowthRate))+('4. Lüderitz Population Calc'!AD49*Resident_Job_Multiplier)+((AF49-AD49)*Resident__Job_Multiplier_wO_H2_worker)</f>
        <v>103942.15060638367</v>
      </c>
      <c r="BA49" s="45">
        <f>(BA48+(BA48*Lüderitz_PopulationGrowthRate))+('4. Lüderitz Population Calc'!AD49*Resident_Job_Multiplier)+((AF49-AD49)*Resident__Job_Multiplier_wO_H2_worker)</f>
        <v>103942.15060638367</v>
      </c>
      <c r="BB49" s="45">
        <f>(BB48+(BB48*Lüderitz_PopulationGrowthRate))+('4. Lüderitz Population Calc'!AD49*Resident_Job_Multiplier)+((AF49-AD49)*Resident__Job_Multiplier_wO_H2_worker)+((AI49-AI48)*Resident__Job_Multiplier_wO_H2_worker)</f>
        <v>109087.99060638368</v>
      </c>
    </row>
    <row r="50" spans="1:54" x14ac:dyDescent="0.2">
      <c r="B50" s="44">
        <f t="shared" si="4"/>
        <v>2044</v>
      </c>
      <c r="C50" s="45">
        <f>C49+(C49*'2. Control Panel - Lüderitz'!$D$10)</f>
        <v>25231.206675587608</v>
      </c>
      <c r="D50" s="37"/>
      <c r="E50" s="45">
        <f>IF(B50&lt;'3. Lüderitz Industry'!$C$12,"",IF('4. Lüderitz Population Calc'!B50&lt;'3. Lüderitz Industry'!$C$16,'3. Lüderitz Industry'!$D$15,IF('4. Lüderitz Population Calc'!B50&lt;'3. Lüderitz Industry'!$C$17,'3. Lüderitz Industry'!$D$16,'3. Lüderitz Industry'!$D$17)))</f>
        <v>600</v>
      </c>
      <c r="F50" s="45">
        <f>IF(B50&lt;'3. Lüderitz Industry'!$C$12,"",IF('4. Lüderitz Population Calc'!B50&lt;'3. Lüderitz Industry'!$C$16,'3. Lüderitz Industry'!$E$15,IF('4. Lüderitz Population Calc'!B50&lt;'3. Lüderitz Industry'!$C$17,'3. Lüderitz Industry'!$E$16,'3. Lüderitz Industry'!$E$17)))</f>
        <v>1500</v>
      </c>
      <c r="G50" s="45">
        <f>IF(B50&lt;'3. Lüderitz Industry'!$C$26,"",IF(B50&lt;'3. Lüderitz Industry'!$C$27,'3. Lüderitz Industry'!$D$26,IF('4. Lüderitz Population Calc'!B50&lt;'3. Lüderitz Industry'!$C$28,'3. Lüderitz Industry'!$D$27,'3. Lüderitz Industry'!$D$28)))</f>
        <v>874.28571428571422</v>
      </c>
      <c r="H50" s="45">
        <f>IF(B50&lt;'3. Lüderitz Industry'!$C$26,"",IF(B50&lt;'3. Lüderitz Industry'!$C$27,'3. Lüderitz Industry'!$E$26,IF('4. Lüderitz Population Calc'!B50&lt;'3. Lüderitz Industry'!$C$28,'3. Lüderitz Industry'!$E$27,'3. Lüderitz Industry'!$E$28)))</f>
        <v>2185.7142857142853</v>
      </c>
      <c r="I50" s="45">
        <f>IF(B50&lt;'3. Lüderitz Industry'!$C$32,"",'3. Lüderitz Industry'!$C$33)</f>
        <v>310</v>
      </c>
      <c r="J50" s="45">
        <f>IF(B50&lt;'3. Lüderitz Industry'!$C$38,"",'3. Lüderitz Industry'!$C$39)</f>
        <v>50</v>
      </c>
      <c r="K50" s="45">
        <f>IF(B50&lt;'3. Lüderitz Industry'!$C$45,"",'3. Lüderitz Industry'!$C$46)</f>
        <v>0</v>
      </c>
      <c r="L50" s="45">
        <f>IF(B50&lt;'3. Lüderitz Industry'!$C$52,"",'3. Lüderitz Industry'!$C$53)</f>
        <v>200</v>
      </c>
      <c r="M50" s="45">
        <f>IF(B50&lt;'3. Lüderitz Industry'!$I$11,"",'3. Lüderitz Industry'!$I$12)</f>
        <v>7000</v>
      </c>
      <c r="N50" s="45">
        <f>IF(B50&lt;'3. Lüderitz Industry'!$I$17,"",'3. Lüderitz Industry'!$I$18)</f>
        <v>0</v>
      </c>
      <c r="O50" s="45">
        <f>IF(B50&lt;'3. Lüderitz Industry'!$I$23,"",'3. Lüderitz Industry'!$I$24)</f>
        <v>0</v>
      </c>
      <c r="P50" s="45">
        <f>IF(B50&lt;'3. Lüderitz Industry'!$I$29,"",'3. Lüderitz Industry'!$I$30)</f>
        <v>0</v>
      </c>
      <c r="Q50" s="45">
        <f>IF(B50&lt;'3. Lüderitz Industry'!$L$12,"",IF('4. Lüderitz Population Calc'!B50&lt;'3. Lüderitz Industry'!$L$13,'3. Lüderitz Industry'!$O$12,IF('4. Lüderitz Population Calc'!B50&lt;'3. Lüderitz Industry'!$L$14,'3. Lüderitz Industry'!$O$13,'3. Lüderitz Industry'!$O$14)))</f>
        <v>0</v>
      </c>
      <c r="R50" s="45">
        <f>IF(B50&lt;'3. Lüderitz Industry'!$L$12,"",IF('4. Lüderitz Population Calc'!B50&lt;'3. Lüderitz Industry'!$L$13,'3. Lüderitz Industry'!$N$12,IF('4. Lüderitz Population Calc'!B50&lt;'3. Lüderitz Industry'!$L$14,'3. Lüderitz Industry'!$N$13,'3. Lüderitz Industry'!$N$14)))</f>
        <v>3000</v>
      </c>
      <c r="S50" s="45">
        <f>IF(B50&lt;'3. Lüderitz Industry'!$L$20,"",IF('4. Lüderitz Population Calc'!B50&lt;'3. Lüderitz Industry'!$L$21,'3. Lüderitz Industry'!$P$20,IF('4. Lüderitz Population Calc'!B50&lt;'3. Lüderitz Industry'!$L$22,'3. Lüderitz Industry'!$P$21,'3. Lüderitz Industry'!$P$22)))</f>
        <v>0</v>
      </c>
      <c r="T50" s="45">
        <f>IF(B50&lt;'3. Lüderitz Industry'!$L$20,"",IF('4. Lüderitz Population Calc'!B50&lt;'3. Lüderitz Industry'!$L$21,'3. Lüderitz Industry'!$O$20,IF('4. Lüderitz Population Calc'!B50&lt;'3. Lüderitz Industry'!$L$22,'3. Lüderitz Industry'!$O$21,'3. Lüderitz Industry'!$O$22)))</f>
        <v>3000</v>
      </c>
      <c r="U50" s="37"/>
      <c r="V50" s="45">
        <f t="shared" si="17"/>
        <v>0</v>
      </c>
      <c r="W50" s="45">
        <f t="shared" si="5"/>
        <v>0</v>
      </c>
      <c r="X50" s="45">
        <f t="shared" si="6"/>
        <v>0</v>
      </c>
      <c r="Y50" s="45">
        <f t="shared" si="7"/>
        <v>0</v>
      </c>
      <c r="Z50" s="45">
        <f t="shared" si="8"/>
        <v>0</v>
      </c>
      <c r="AA50" s="45">
        <f>IF(B50&lt;'3. Lüderitz Industry'!$L$12,"0",IF('4. Lüderitz Population Calc'!B50&lt;'3. Lüderitz Industry'!$L$13,'3. Lüderitz Industry'!$M$12,IF('4. Lüderitz Population Calc'!B50&lt;'3. Lüderitz Industry'!$L$14,'3. Lüderitz Industry'!$M$13,('3. Lüderitz Industry'!$M$14+'3. Lüderitz Industry'!$M$13))))</f>
        <v>18000</v>
      </c>
      <c r="AB50" s="45">
        <f t="shared" si="9"/>
        <v>0</v>
      </c>
      <c r="AC50" s="45">
        <f t="shared" si="10"/>
        <v>0</v>
      </c>
      <c r="AD50" s="45">
        <f t="shared" si="11"/>
        <v>0</v>
      </c>
      <c r="AE50" s="45">
        <f t="shared" si="12"/>
        <v>0</v>
      </c>
      <c r="AF50" s="45">
        <f t="shared" si="13"/>
        <v>0</v>
      </c>
      <c r="AG50" s="45">
        <f t="shared" si="14"/>
        <v>0</v>
      </c>
      <c r="AH50" s="45">
        <f t="shared" si="15"/>
        <v>0</v>
      </c>
      <c r="AI50" s="45">
        <f>IF(B50&lt;'3. Lüderitz Industry'!$L$20,"0",IF('4. Lüderitz Population Calc'!B50&lt;'3. Lüderitz Industry'!$L$21,'3. Lüderitz Industry'!$O$20,IF('4. Lüderitz Population Calc'!B50&lt;'3. Lüderitz Industry'!$L$22,'3. Lüderitz Industry'!$O$21,('3. Lüderitz Industry'!$O$21+'3. Lüderitz Industry'!$O$22))))</f>
        <v>3000</v>
      </c>
      <c r="AJ50" s="45">
        <f t="shared" si="16"/>
        <v>0</v>
      </c>
      <c r="AK50" s="37"/>
      <c r="AL50" s="45">
        <f>(AL49+(AL49*Lüderitz_PopulationGrowthRate))+('4. Lüderitz Population Calc'!V50*Resident_Job_Multiplier)</f>
        <v>42692.110680102836</v>
      </c>
      <c r="AM50" s="45">
        <f>(AM49+(AM49*Lüderitz_PopulationGrowthRate))+('4. Lüderitz Population Calc'!W50*'2. Control Panel - Lüderitz'!$G$12)</f>
        <v>64041.884390568899</v>
      </c>
      <c r="AN50" s="45">
        <f>(AN49+(AN49*Lüderitz_PopulationGrowthRate))+('4. Lüderitz Population Calc'!Y50*'2. Control Panel - Lüderitz'!$G$12)+Z50</f>
        <v>49276.572897994447</v>
      </c>
      <c r="AO50" s="45">
        <f>(AO49+(AO49*'2. Control Panel - Lüderitz'!$D$10))+('4. Lüderitz Population Calc'!AB50*'2. Control Panel - Lüderitz'!$G$12)</f>
        <v>99804.82326527618</v>
      </c>
      <c r="AP50" s="45">
        <f>(AP49+(AP49*'2. Control Panel - Lüderitz'!$D$10))+('4. Lüderitz Population Calc'!AD50*'2. Control Panel - Lüderitz'!$G$12)+AE50</f>
        <v>70626.346608460561</v>
      </c>
      <c r="AQ50" s="45">
        <f>(AQ49+(AQ49*'2. Control Panel - Lüderitz'!$D$10))+('4. Lüderitz Population Calc'!AF50*'2. Control Panel - Lüderitz'!$G$12)</f>
        <v>121154.59697574229</v>
      </c>
      <c r="AR50" s="45">
        <f>(AR49+(AR49*'2. Control Panel - Lüderitz'!$D$10))+('4. Lüderitz Population Calc'!AH50*'2. Control Panel - Lüderitz'!$G$12)+(AI50-AI49)</f>
        <v>124281.91997574228</v>
      </c>
      <c r="AS50" s="45">
        <f>(AS49+(AS49*'2. Control Panel - Lüderitz'!$D$10))+('4. Lüderitz Population Calc'!AJ50*'2. Control Panel - Lüderitz'!$G$12)</f>
        <v>128284.89341574228</v>
      </c>
      <c r="AU50" s="45">
        <f t="shared" si="2"/>
        <v>42692.110680102836</v>
      </c>
      <c r="AV50" s="45">
        <f t="shared" si="3"/>
        <v>64041.884390568899</v>
      </c>
      <c r="AW50" s="45">
        <f>(AW49+(AW49*'2. Control Panel - Lüderitz'!$D$10))+('4. Lüderitz Population Calc'!Y50*Resident_Job_Multiplier)</f>
        <v>42692.110680102836</v>
      </c>
      <c r="AX50" s="45">
        <f>(AX49+(AX49*Lüderitz_PopulationGrowthRate))+('4. Lüderitz Population Calc'!Y50*Resident_Job_Multiplier)+(Z50*Resident__Job_Multiplier_wO_H2_worker)</f>
        <v>53754.007206160735</v>
      </c>
      <c r="AY50" s="45">
        <f>(AY49+(AY49*Lüderitz_PopulationGrowthRate))+('4. Lüderitz Population Calc'!AD50*Resident_Job_Multiplier)</f>
        <v>64041.884390568899</v>
      </c>
      <c r="AZ50" s="45">
        <f>(AZ49+(AZ49*Lüderitz_PopulationGrowthRate))+('4. Lüderitz Population Calc'!AD50*Resident_Job_Multiplier)+((AF50-AD50)*Resident__Job_Multiplier_wO_H2_worker)</f>
        <v>106124.93576911773</v>
      </c>
      <c r="BA50" s="45">
        <f>(BA49+(BA49*Lüderitz_PopulationGrowthRate))+('4. Lüderitz Population Calc'!AD50*Resident_Job_Multiplier)+((AF50-AD50)*Resident__Job_Multiplier_wO_H2_worker)</f>
        <v>106124.93576911773</v>
      </c>
      <c r="BB50" s="45">
        <f>(BB49+(BB49*Lüderitz_PopulationGrowthRate))+('4. Lüderitz Population Calc'!AD50*Resident_Job_Multiplier)+((AF50-AD50)*Resident__Job_Multiplier_wO_H2_worker)+((AI50-AI49)*Resident__Job_Multiplier_wO_H2_worker)</f>
        <v>111378.83840911774</v>
      </c>
    </row>
    <row r="51" spans="1:54" x14ac:dyDescent="0.2">
      <c r="B51" s="44">
        <f t="shared" si="4"/>
        <v>2045</v>
      </c>
      <c r="C51" s="45">
        <f>C50+(C50*'2. Control Panel - Lüderitz'!$D$10)</f>
        <v>25761.062015774947</v>
      </c>
      <c r="D51" s="37"/>
      <c r="E51" s="45">
        <f>IF(B51&lt;'3. Lüderitz Industry'!$C$12,"",IF('4. Lüderitz Population Calc'!B51&lt;'3. Lüderitz Industry'!$C$16,'3. Lüderitz Industry'!$D$15,IF('4. Lüderitz Population Calc'!B51&lt;'3. Lüderitz Industry'!$C$17,'3. Lüderitz Industry'!$D$16,'3. Lüderitz Industry'!$D$17)))</f>
        <v>600</v>
      </c>
      <c r="F51" s="45">
        <f>IF(B51&lt;'3. Lüderitz Industry'!$C$12,"",IF('4. Lüderitz Population Calc'!B51&lt;'3. Lüderitz Industry'!$C$16,'3. Lüderitz Industry'!$E$15,IF('4. Lüderitz Population Calc'!B51&lt;'3. Lüderitz Industry'!$C$17,'3. Lüderitz Industry'!$E$16,'3. Lüderitz Industry'!$E$17)))</f>
        <v>1500</v>
      </c>
      <c r="G51" s="45">
        <f>IF(B51&lt;'3. Lüderitz Industry'!$C$26,"",IF(B51&lt;'3. Lüderitz Industry'!$C$27,'3. Lüderitz Industry'!$D$26,IF('4. Lüderitz Population Calc'!B51&lt;'3. Lüderitz Industry'!$C$28,'3. Lüderitz Industry'!$D$27,'3. Lüderitz Industry'!$D$28)))</f>
        <v>874.28571428571422</v>
      </c>
      <c r="H51" s="45">
        <f>IF(B51&lt;'3. Lüderitz Industry'!$C$26,"",IF(B51&lt;'3. Lüderitz Industry'!$C$27,'3. Lüderitz Industry'!$E$26,IF('4. Lüderitz Population Calc'!B51&lt;'3. Lüderitz Industry'!$C$28,'3. Lüderitz Industry'!$E$27,'3. Lüderitz Industry'!$E$28)))</f>
        <v>2185.7142857142853</v>
      </c>
      <c r="I51" s="45">
        <f>IF(B51&lt;'3. Lüderitz Industry'!$C$32,"",'3. Lüderitz Industry'!$C$33)</f>
        <v>310</v>
      </c>
      <c r="J51" s="45">
        <f>IF(B51&lt;'3. Lüderitz Industry'!$C$38,"",'3. Lüderitz Industry'!$C$39)</f>
        <v>50</v>
      </c>
      <c r="K51" s="45">
        <f>IF(B51&lt;'3. Lüderitz Industry'!$C$45,"",'3. Lüderitz Industry'!$C$46)</f>
        <v>0</v>
      </c>
      <c r="L51" s="45">
        <f>IF(B51&lt;'3. Lüderitz Industry'!$C$52,"",'3. Lüderitz Industry'!$C$53)</f>
        <v>200</v>
      </c>
      <c r="M51" s="45">
        <f>IF(B51&lt;'3. Lüderitz Industry'!$I$11,"",'3. Lüderitz Industry'!$I$12)</f>
        <v>7000</v>
      </c>
      <c r="N51" s="45">
        <f>IF(B51&lt;'3. Lüderitz Industry'!$I$17,"",'3. Lüderitz Industry'!$I$18)</f>
        <v>0</v>
      </c>
      <c r="O51" s="45">
        <f>IF(B51&lt;'3. Lüderitz Industry'!$I$23,"",'3. Lüderitz Industry'!$I$24)</f>
        <v>0</v>
      </c>
      <c r="P51" s="45">
        <f>IF(B51&lt;'3. Lüderitz Industry'!$I$29,"",'3. Lüderitz Industry'!$I$30)</f>
        <v>0</v>
      </c>
      <c r="Q51" s="45">
        <f>IF(B51&lt;'3. Lüderitz Industry'!$L$12,"",IF('4. Lüderitz Population Calc'!B51&lt;'3. Lüderitz Industry'!$L$13,'3. Lüderitz Industry'!$O$12,IF('4. Lüderitz Population Calc'!B51&lt;'3. Lüderitz Industry'!$L$14,'3. Lüderitz Industry'!$O$13,'3. Lüderitz Industry'!$O$14)))</f>
        <v>0</v>
      </c>
      <c r="R51" s="45">
        <f>IF(B51&lt;'3. Lüderitz Industry'!$L$12,"",IF('4. Lüderitz Population Calc'!B51&lt;'3. Lüderitz Industry'!$L$13,'3. Lüderitz Industry'!$N$12,IF('4. Lüderitz Population Calc'!B51&lt;'3. Lüderitz Industry'!$L$14,'3. Lüderitz Industry'!$N$13,'3. Lüderitz Industry'!$N$14)))</f>
        <v>3000</v>
      </c>
      <c r="S51" s="45">
        <f>IF(B51&lt;'3. Lüderitz Industry'!$L$20,"",IF('4. Lüderitz Population Calc'!B51&lt;'3. Lüderitz Industry'!$L$21,'3. Lüderitz Industry'!$P$20,IF('4. Lüderitz Population Calc'!B51&lt;'3. Lüderitz Industry'!$L$22,'3. Lüderitz Industry'!$P$21,'3. Lüderitz Industry'!$P$22)))</f>
        <v>0</v>
      </c>
      <c r="T51" s="45">
        <f>IF(B51&lt;'3. Lüderitz Industry'!$L$20,"",IF('4. Lüderitz Population Calc'!B51&lt;'3. Lüderitz Industry'!$L$21,'3. Lüderitz Industry'!$O$20,IF('4. Lüderitz Population Calc'!B51&lt;'3. Lüderitz Industry'!$L$22,'3. Lüderitz Industry'!$O$21,'3. Lüderitz Industry'!$O$22)))</f>
        <v>3000</v>
      </c>
      <c r="U51" s="37"/>
      <c r="V51" s="45">
        <f t="shared" si="17"/>
        <v>0</v>
      </c>
      <c r="W51" s="45">
        <f t="shared" si="5"/>
        <v>0</v>
      </c>
      <c r="X51" s="45">
        <f t="shared" si="6"/>
        <v>0</v>
      </c>
      <c r="Y51" s="45">
        <f t="shared" si="7"/>
        <v>0</v>
      </c>
      <c r="Z51" s="45">
        <f t="shared" si="8"/>
        <v>0</v>
      </c>
      <c r="AA51" s="45">
        <f>IF(B51&lt;'3. Lüderitz Industry'!$L$12,"0",IF('4. Lüderitz Population Calc'!B51&lt;'3. Lüderitz Industry'!$L$13,'3. Lüderitz Industry'!$M$12,IF('4. Lüderitz Population Calc'!B51&lt;'3. Lüderitz Industry'!$L$14,'3. Lüderitz Industry'!$M$13,('3. Lüderitz Industry'!$M$14+'3. Lüderitz Industry'!$M$13))))</f>
        <v>18000</v>
      </c>
      <c r="AB51" s="45">
        <f t="shared" si="9"/>
        <v>0</v>
      </c>
      <c r="AC51" s="45">
        <f t="shared" si="10"/>
        <v>0</v>
      </c>
      <c r="AD51" s="45">
        <f t="shared" si="11"/>
        <v>0</v>
      </c>
      <c r="AE51" s="45">
        <f t="shared" si="12"/>
        <v>0</v>
      </c>
      <c r="AF51" s="45">
        <f t="shared" si="13"/>
        <v>0</v>
      </c>
      <c r="AG51" s="45">
        <f t="shared" si="14"/>
        <v>0</v>
      </c>
      <c r="AH51" s="45">
        <f t="shared" si="15"/>
        <v>0</v>
      </c>
      <c r="AI51" s="45">
        <f>IF(B51&lt;'3. Lüderitz Industry'!$L$20,"0",IF('4. Lüderitz Population Calc'!B51&lt;'3. Lüderitz Industry'!$L$21,'3. Lüderitz Industry'!$O$20,IF('4. Lüderitz Population Calc'!B51&lt;'3. Lüderitz Industry'!$L$22,'3. Lüderitz Industry'!$O$21,('3. Lüderitz Industry'!$O$21+'3. Lüderitz Industry'!$O$22))))</f>
        <v>3000</v>
      </c>
      <c r="AJ51" s="45">
        <f t="shared" si="16"/>
        <v>0</v>
      </c>
      <c r="AK51" s="37"/>
      <c r="AL51" s="45">
        <f>(AL50+(AL50*Lüderitz_PopulationGrowthRate))+('4. Lüderitz Population Calc'!V51*Resident_Job_Multiplier)</f>
        <v>43588.645004384998</v>
      </c>
      <c r="AM51" s="45">
        <f>(AM50+(AM50*Lüderitz_PopulationGrowthRate))+('4. Lüderitz Population Calc'!W51*'2. Control Panel - Lüderitz'!$G$12)</f>
        <v>65386.763962770849</v>
      </c>
      <c r="AN51" s="45">
        <f>(AN50+(AN50*Lüderitz_PopulationGrowthRate))+('4. Lüderitz Population Calc'!Y51*'2. Control Panel - Lüderitz'!$G$12)+Z51</f>
        <v>50311.380928852333</v>
      </c>
      <c r="AO51" s="45">
        <f>(AO50+(AO50*'2. Control Panel - Lüderitz'!$D$10))+('4. Lüderitz Population Calc'!AB51*'2. Control Panel - Lüderitz'!$G$12)</f>
        <v>101900.72455384699</v>
      </c>
      <c r="AP51" s="45">
        <f>(AP50+(AP50*'2. Control Panel - Lüderitz'!$D$10))+('4. Lüderitz Population Calc'!AD51*'2. Control Panel - Lüderitz'!$G$12)+AE51</f>
        <v>72109.499887238228</v>
      </c>
      <c r="AQ51" s="45">
        <f>(AQ50+(AQ50*'2. Control Panel - Lüderitz'!$D$10))+('4. Lüderitz Population Calc'!AF51*'2. Control Panel - Lüderitz'!$G$12)</f>
        <v>123698.84351223288</v>
      </c>
      <c r="AR51" s="45">
        <f>(AR50+(AR50*'2. Control Panel - Lüderitz'!$D$10))+('4. Lüderitz Population Calc'!AH51*'2. Control Panel - Lüderitz'!$G$12)+(AI51-AI50)</f>
        <v>126891.84029523286</v>
      </c>
      <c r="AS51" s="45">
        <f>(AS50+(AS50*'2. Control Panel - Lüderitz'!$D$10))+('4. Lüderitz Population Calc'!AJ51*'2. Control Panel - Lüderitz'!$G$12)</f>
        <v>130978.87617747286</v>
      </c>
      <c r="AU51" s="45">
        <f t="shared" si="2"/>
        <v>43588.645004384998</v>
      </c>
      <c r="AV51" s="45">
        <f t="shared" si="3"/>
        <v>65386.763962770849</v>
      </c>
      <c r="AW51" s="45">
        <f>(AW50+(AW50*'2. Control Panel - Lüderitz'!$D$10))+('4. Lüderitz Population Calc'!Y51*Resident_Job_Multiplier)</f>
        <v>43588.645004384998</v>
      </c>
      <c r="AX51" s="45">
        <f>(AX50+(AX50*Lüderitz_PopulationGrowthRate))+('4. Lüderitz Population Calc'!Y51*Resident_Job_Multiplier)+(Z51*Resident__Job_Multiplier_wO_H2_worker)</f>
        <v>54882.841357490113</v>
      </c>
      <c r="AY51" s="45">
        <f>(AY50+(AY50*Lüderitz_PopulationGrowthRate))+('4. Lüderitz Population Calc'!AD51*Resident_Job_Multiplier)</f>
        <v>65386.763962770849</v>
      </c>
      <c r="AZ51" s="45">
        <f>(AZ50+(AZ50*Lüderitz_PopulationGrowthRate))+('4. Lüderitz Population Calc'!AD51*Resident_Job_Multiplier)+((AF51-AD51)*Resident__Job_Multiplier_wO_H2_worker)</f>
        <v>108353.5594202692</v>
      </c>
      <c r="BA51" s="45">
        <f>(BA50+(BA50*Lüderitz_PopulationGrowthRate))+('4. Lüderitz Population Calc'!AD51*Resident_Job_Multiplier)+((AF51-AD51)*Resident__Job_Multiplier_wO_H2_worker)</f>
        <v>108353.5594202692</v>
      </c>
      <c r="BB51" s="45">
        <f>(BB50+(BB50*Lüderitz_PopulationGrowthRate))+('4. Lüderitz Population Calc'!AD51*Resident_Job_Multiplier)+((AF51-AD51)*Resident__Job_Multiplier_wO_H2_worker)+((AI51-AI50)*Resident__Job_Multiplier_wO_H2_worker)</f>
        <v>113717.79401570921</v>
      </c>
    </row>
    <row r="52" spans="1:54" x14ac:dyDescent="0.2">
      <c r="B52" s="44">
        <f t="shared" si="4"/>
        <v>2046</v>
      </c>
      <c r="C52" s="45">
        <f>C51+(C51*'2. Control Panel - Lüderitz'!$D$10)</f>
        <v>26302.044318106222</v>
      </c>
      <c r="D52" s="37"/>
      <c r="E52" s="45">
        <f>IF(B52&lt;'3. Lüderitz Industry'!$C$12,"",IF('4. Lüderitz Population Calc'!B52&lt;'3. Lüderitz Industry'!$C$16,'3. Lüderitz Industry'!$D$15,IF('4. Lüderitz Population Calc'!B52&lt;'3. Lüderitz Industry'!$C$17,'3. Lüderitz Industry'!$D$16,'3. Lüderitz Industry'!$D$17)))</f>
        <v>600</v>
      </c>
      <c r="F52" s="45">
        <f>IF(B52&lt;'3. Lüderitz Industry'!$C$12,"",IF('4. Lüderitz Population Calc'!B52&lt;'3. Lüderitz Industry'!$C$16,'3. Lüderitz Industry'!$E$15,IF('4. Lüderitz Population Calc'!B52&lt;'3. Lüderitz Industry'!$C$17,'3. Lüderitz Industry'!$E$16,'3. Lüderitz Industry'!$E$17)))</f>
        <v>1500</v>
      </c>
      <c r="G52" s="45">
        <f>IF(B52&lt;'3. Lüderitz Industry'!$C$26,"",IF(B52&lt;'3. Lüderitz Industry'!$C$27,'3. Lüderitz Industry'!$D$26,IF('4. Lüderitz Population Calc'!B52&lt;'3. Lüderitz Industry'!$C$28,'3. Lüderitz Industry'!$D$27,'3. Lüderitz Industry'!$D$28)))</f>
        <v>874.28571428571422</v>
      </c>
      <c r="H52" s="45">
        <f>IF(B52&lt;'3. Lüderitz Industry'!$C$26,"",IF(B52&lt;'3. Lüderitz Industry'!$C$27,'3. Lüderitz Industry'!$E$26,IF('4. Lüderitz Population Calc'!B52&lt;'3. Lüderitz Industry'!$C$28,'3. Lüderitz Industry'!$E$27,'3. Lüderitz Industry'!$E$28)))</f>
        <v>2185.7142857142853</v>
      </c>
      <c r="I52" s="45">
        <f>IF(B52&lt;'3. Lüderitz Industry'!$C$32,"",'3. Lüderitz Industry'!$C$33)</f>
        <v>310</v>
      </c>
      <c r="J52" s="45">
        <f>IF(B52&lt;'3. Lüderitz Industry'!$C$38,"",'3. Lüderitz Industry'!$C$39)</f>
        <v>50</v>
      </c>
      <c r="K52" s="45">
        <f>IF(B52&lt;'3. Lüderitz Industry'!$C$45,"",'3. Lüderitz Industry'!$C$46)</f>
        <v>0</v>
      </c>
      <c r="L52" s="45">
        <f>IF(B52&lt;'3. Lüderitz Industry'!$C$52,"",'3. Lüderitz Industry'!$C$53)</f>
        <v>200</v>
      </c>
      <c r="M52" s="45">
        <f>IF(B52&lt;'3. Lüderitz Industry'!$I$11,"",'3. Lüderitz Industry'!$I$12)</f>
        <v>7000</v>
      </c>
      <c r="N52" s="45">
        <f>IF(B52&lt;'3. Lüderitz Industry'!$I$17,"",'3. Lüderitz Industry'!$I$18)</f>
        <v>0</v>
      </c>
      <c r="O52" s="45">
        <f>IF(B52&lt;'3. Lüderitz Industry'!$I$23,"",'3. Lüderitz Industry'!$I$24)</f>
        <v>0</v>
      </c>
      <c r="P52" s="45">
        <f>IF(B52&lt;'3. Lüderitz Industry'!$I$29,"",'3. Lüderitz Industry'!$I$30)</f>
        <v>0</v>
      </c>
      <c r="Q52" s="45">
        <f>IF(B52&lt;'3. Lüderitz Industry'!$L$12,"",IF('4. Lüderitz Population Calc'!B52&lt;'3. Lüderitz Industry'!$L$13,'3. Lüderitz Industry'!$O$12,IF('4. Lüderitz Population Calc'!B52&lt;'3. Lüderitz Industry'!$L$14,'3. Lüderitz Industry'!$O$13,'3. Lüderitz Industry'!$O$14)))</f>
        <v>0</v>
      </c>
      <c r="R52" s="45">
        <f>IF(B52&lt;'3. Lüderitz Industry'!$L$12,"",IF('4. Lüderitz Population Calc'!B52&lt;'3. Lüderitz Industry'!$L$13,'3. Lüderitz Industry'!$N$12,IF('4. Lüderitz Population Calc'!B52&lt;'3. Lüderitz Industry'!$L$14,'3. Lüderitz Industry'!$N$13,'3. Lüderitz Industry'!$N$14)))</f>
        <v>3000</v>
      </c>
      <c r="S52" s="45">
        <f>IF(B52&lt;'3. Lüderitz Industry'!$L$20,"",IF('4. Lüderitz Population Calc'!B52&lt;'3. Lüderitz Industry'!$L$21,'3. Lüderitz Industry'!$P$20,IF('4. Lüderitz Population Calc'!B52&lt;'3. Lüderitz Industry'!$L$22,'3. Lüderitz Industry'!$P$21,'3. Lüderitz Industry'!$P$22)))</f>
        <v>0</v>
      </c>
      <c r="T52" s="45">
        <f>IF(B52&lt;'3. Lüderitz Industry'!$L$20,"",IF('4. Lüderitz Population Calc'!B52&lt;'3. Lüderitz Industry'!$L$21,'3. Lüderitz Industry'!$O$20,IF('4. Lüderitz Population Calc'!B52&lt;'3. Lüderitz Industry'!$L$22,'3. Lüderitz Industry'!$O$21,'3. Lüderitz Industry'!$O$22)))</f>
        <v>3000</v>
      </c>
      <c r="U52" s="37"/>
      <c r="V52" s="45">
        <f t="shared" si="17"/>
        <v>0</v>
      </c>
      <c r="W52" s="45">
        <f t="shared" si="5"/>
        <v>0</v>
      </c>
      <c r="X52" s="45">
        <f t="shared" si="6"/>
        <v>0</v>
      </c>
      <c r="Y52" s="45">
        <f t="shared" si="7"/>
        <v>0</v>
      </c>
      <c r="Z52" s="45">
        <f t="shared" si="8"/>
        <v>0</v>
      </c>
      <c r="AA52" s="45">
        <f>IF(B52&lt;'3. Lüderitz Industry'!$L$12,"0",IF('4. Lüderitz Population Calc'!B52&lt;'3. Lüderitz Industry'!$L$13,'3. Lüderitz Industry'!$M$12,IF('4. Lüderitz Population Calc'!B52&lt;'3. Lüderitz Industry'!$L$14,'3. Lüderitz Industry'!$M$13,('3. Lüderitz Industry'!$M$14+'3. Lüderitz Industry'!$M$13))))</f>
        <v>18000</v>
      </c>
      <c r="AB52" s="45">
        <f t="shared" si="9"/>
        <v>0</v>
      </c>
      <c r="AC52" s="45">
        <f t="shared" si="10"/>
        <v>0</v>
      </c>
      <c r="AD52" s="45">
        <f t="shared" si="11"/>
        <v>0</v>
      </c>
      <c r="AE52" s="45">
        <f t="shared" si="12"/>
        <v>0</v>
      </c>
      <c r="AF52" s="45">
        <f t="shared" si="13"/>
        <v>0</v>
      </c>
      <c r="AG52" s="45">
        <f t="shared" si="14"/>
        <v>0</v>
      </c>
      <c r="AH52" s="45">
        <f t="shared" si="15"/>
        <v>0</v>
      </c>
      <c r="AI52" s="45">
        <f>IF(B52&lt;'3. Lüderitz Industry'!$L$20,"0",IF('4. Lüderitz Population Calc'!B52&lt;'3. Lüderitz Industry'!$L$21,'3. Lüderitz Industry'!$O$20,IF('4. Lüderitz Population Calc'!B52&lt;'3. Lüderitz Industry'!$L$22,'3. Lüderitz Industry'!$O$21,('3. Lüderitz Industry'!$O$21+'3. Lüderitz Industry'!$O$22))))</f>
        <v>3000</v>
      </c>
      <c r="AJ52" s="45">
        <f t="shared" si="16"/>
        <v>0</v>
      </c>
      <c r="AK52" s="37"/>
      <c r="AL52" s="45">
        <f>(AL51+(AL51*Lüderitz_PopulationGrowthRate))+('4. Lüderitz Population Calc'!V52*Resident_Job_Multiplier)</f>
        <v>44504.006549477082</v>
      </c>
      <c r="AM52" s="45">
        <f>(AM51+(AM51*Lüderitz_PopulationGrowthRate))+('4. Lüderitz Population Calc'!W52*'2. Control Panel - Lüderitz'!$G$12)</f>
        <v>66759.886005989043</v>
      </c>
      <c r="AN52" s="45">
        <f>(AN51+(AN51*Lüderitz_PopulationGrowthRate))+('4. Lüderitz Population Calc'!Y52*'2. Control Panel - Lüderitz'!$G$12)+Z52</f>
        <v>51367.919928358235</v>
      </c>
      <c r="AO52" s="45">
        <f>(AO51+(AO51*'2. Control Panel - Lüderitz'!$D$10))+('4. Lüderitz Population Calc'!AB52*'2. Control Panel - Lüderitz'!$G$12)</f>
        <v>104040.63976947777</v>
      </c>
      <c r="AP52" s="45">
        <f>(AP51+(AP51*'2. Control Panel - Lüderitz'!$D$10))+('4. Lüderitz Population Calc'!AD52*'2. Control Panel - Lüderitz'!$G$12)+AE52</f>
        <v>73623.799384870232</v>
      </c>
      <c r="AQ52" s="45">
        <f>(AQ51+(AQ51*'2. Control Panel - Lüderitz'!$D$10))+('4. Lüderitz Population Calc'!AF52*'2. Control Panel - Lüderitz'!$G$12)</f>
        <v>126296.51922598977</v>
      </c>
      <c r="AR52" s="45">
        <f>(AR51+(AR51*'2. Control Panel - Lüderitz'!$D$10))+('4. Lüderitz Population Calc'!AH52*'2. Control Panel - Lüderitz'!$G$12)+(AI52-AI51)</f>
        <v>129556.56894143275</v>
      </c>
      <c r="AS52" s="45">
        <f>(AS51+(AS51*'2. Control Panel - Lüderitz'!$D$10))+('4. Lüderitz Population Calc'!AJ52*'2. Control Panel - Lüderitz'!$G$12)</f>
        <v>133729.4325771998</v>
      </c>
      <c r="AU52" s="45">
        <f t="shared" si="2"/>
        <v>44504.006549477082</v>
      </c>
      <c r="AV52" s="45">
        <f t="shared" si="3"/>
        <v>66759.886005989043</v>
      </c>
      <c r="AW52" s="45">
        <f>(AW51+(AW51*'2. Control Panel - Lüderitz'!$D$10))+('4. Lüderitz Population Calc'!Y52*Resident_Job_Multiplier)</f>
        <v>44504.006549477082</v>
      </c>
      <c r="AX52" s="45">
        <f>(AX51+(AX51*Lüderitz_PopulationGrowthRate))+('4. Lüderitz Population Calc'!Y52*Resident_Job_Multiplier)+(Z52*Resident__Job_Multiplier_wO_H2_worker)</f>
        <v>56035.381025997405</v>
      </c>
      <c r="AY52" s="45">
        <f>(AY51+(AY51*Lüderitz_PopulationGrowthRate))+('4. Lüderitz Population Calc'!AD52*Resident_Job_Multiplier)</f>
        <v>66759.886005989043</v>
      </c>
      <c r="AZ52" s="45">
        <f>(AZ51+(AZ51*Lüderitz_PopulationGrowthRate))+('4. Lüderitz Population Calc'!AD52*Resident_Job_Multiplier)+((AF52-AD52)*Resident__Job_Multiplier_wO_H2_worker)</f>
        <v>110628.98416809486</v>
      </c>
      <c r="BA52" s="45">
        <f>(BA51+(BA51*Lüderitz_PopulationGrowthRate))+('4. Lüderitz Population Calc'!AD52*Resident_Job_Multiplier)+((AF52-AD52)*Resident__Job_Multiplier_wO_H2_worker)</f>
        <v>110628.98416809486</v>
      </c>
      <c r="BB52" s="45">
        <f>(BB51+(BB51*Lüderitz_PopulationGrowthRate))+('4. Lüderitz Population Calc'!AD52*Resident_Job_Multiplier)+((AF52-AD52)*Resident__Job_Multiplier_wO_H2_worker)+((AI52-AI51)*Resident__Job_Multiplier_wO_H2_worker)</f>
        <v>116105.8676900391</v>
      </c>
    </row>
    <row r="53" spans="1:54" x14ac:dyDescent="0.2">
      <c r="B53" s="44">
        <f t="shared" si="4"/>
        <v>2047</v>
      </c>
      <c r="C53" s="45">
        <f>C52+(C52*'2. Control Panel - Lüderitz'!$D$10)</f>
        <v>26854.387248786454</v>
      </c>
      <c r="D53" s="37"/>
      <c r="E53" s="45">
        <f>IF(B53&lt;'3. Lüderitz Industry'!$C$12,"",IF('4. Lüderitz Population Calc'!B53&lt;'3. Lüderitz Industry'!$C$16,'3. Lüderitz Industry'!$D$15,IF('4. Lüderitz Population Calc'!B53&lt;'3. Lüderitz Industry'!$C$17,'3. Lüderitz Industry'!$D$16,'3. Lüderitz Industry'!$D$17)))</f>
        <v>600</v>
      </c>
      <c r="F53" s="45">
        <f>IF(B53&lt;'3. Lüderitz Industry'!$C$12,"",IF('4. Lüderitz Population Calc'!B53&lt;'3. Lüderitz Industry'!$C$16,'3. Lüderitz Industry'!$E$15,IF('4. Lüderitz Population Calc'!B53&lt;'3. Lüderitz Industry'!$C$17,'3. Lüderitz Industry'!$E$16,'3. Lüderitz Industry'!$E$17)))</f>
        <v>1500</v>
      </c>
      <c r="G53" s="45">
        <f>IF(B53&lt;'3. Lüderitz Industry'!$C$26,"",IF(B53&lt;'3. Lüderitz Industry'!$C$27,'3. Lüderitz Industry'!$D$26,IF('4. Lüderitz Population Calc'!B53&lt;'3. Lüderitz Industry'!$C$28,'3. Lüderitz Industry'!$D$27,'3. Lüderitz Industry'!$D$28)))</f>
        <v>874.28571428571422</v>
      </c>
      <c r="H53" s="45">
        <f>IF(B53&lt;'3. Lüderitz Industry'!$C$26,"",IF(B53&lt;'3. Lüderitz Industry'!$C$27,'3. Lüderitz Industry'!$E$26,IF('4. Lüderitz Population Calc'!B53&lt;'3. Lüderitz Industry'!$C$28,'3. Lüderitz Industry'!$E$27,'3. Lüderitz Industry'!$E$28)))</f>
        <v>2185.7142857142853</v>
      </c>
      <c r="I53" s="45">
        <f>IF(B53&lt;'3. Lüderitz Industry'!$C$32,"",'3. Lüderitz Industry'!$C$33)</f>
        <v>310</v>
      </c>
      <c r="J53" s="45">
        <f>IF(B53&lt;'3. Lüderitz Industry'!$C$38,"",'3. Lüderitz Industry'!$C$39)</f>
        <v>50</v>
      </c>
      <c r="K53" s="45">
        <f>IF(B53&lt;'3. Lüderitz Industry'!$C$45,"",'3. Lüderitz Industry'!$C$46)</f>
        <v>0</v>
      </c>
      <c r="L53" s="45">
        <f>IF(B53&lt;'3. Lüderitz Industry'!$C$52,"",'3. Lüderitz Industry'!$C$53)</f>
        <v>200</v>
      </c>
      <c r="M53" s="45">
        <f>IF(B53&lt;'3. Lüderitz Industry'!$I$11,"",'3. Lüderitz Industry'!$I$12)</f>
        <v>7000</v>
      </c>
      <c r="N53" s="45">
        <f>IF(B53&lt;'3. Lüderitz Industry'!$I$17,"",'3. Lüderitz Industry'!$I$18)</f>
        <v>0</v>
      </c>
      <c r="O53" s="45">
        <f>IF(B53&lt;'3. Lüderitz Industry'!$I$23,"",'3. Lüderitz Industry'!$I$24)</f>
        <v>0</v>
      </c>
      <c r="P53" s="45">
        <f>IF(B53&lt;'3. Lüderitz Industry'!$I$29,"",'3. Lüderitz Industry'!$I$30)</f>
        <v>0</v>
      </c>
      <c r="Q53" s="45">
        <f>IF(B53&lt;'3. Lüderitz Industry'!$L$12,"",IF('4. Lüderitz Population Calc'!B53&lt;'3. Lüderitz Industry'!$L$13,'3. Lüderitz Industry'!$O$12,IF('4. Lüderitz Population Calc'!B53&lt;'3. Lüderitz Industry'!$L$14,'3. Lüderitz Industry'!$O$13,'3. Lüderitz Industry'!$O$14)))</f>
        <v>0</v>
      </c>
      <c r="R53" s="45">
        <f>IF(B53&lt;'3. Lüderitz Industry'!$L$12,"",IF('4. Lüderitz Population Calc'!B53&lt;'3. Lüderitz Industry'!$L$13,'3. Lüderitz Industry'!$N$12,IF('4. Lüderitz Population Calc'!B53&lt;'3. Lüderitz Industry'!$L$14,'3. Lüderitz Industry'!$N$13,'3. Lüderitz Industry'!$N$14)))</f>
        <v>3000</v>
      </c>
      <c r="S53" s="45">
        <f>IF(B53&lt;'3. Lüderitz Industry'!$L$20,"",IF('4. Lüderitz Population Calc'!B53&lt;'3. Lüderitz Industry'!$L$21,'3. Lüderitz Industry'!$P$20,IF('4. Lüderitz Population Calc'!B53&lt;'3. Lüderitz Industry'!$L$22,'3. Lüderitz Industry'!$P$21,'3. Lüderitz Industry'!$P$22)))</f>
        <v>0</v>
      </c>
      <c r="T53" s="45">
        <f>IF(B53&lt;'3. Lüderitz Industry'!$L$20,"",IF('4. Lüderitz Population Calc'!B53&lt;'3. Lüderitz Industry'!$L$21,'3. Lüderitz Industry'!$O$20,IF('4. Lüderitz Population Calc'!B53&lt;'3. Lüderitz Industry'!$L$22,'3. Lüderitz Industry'!$O$21,'3. Lüderitz Industry'!$O$22)))</f>
        <v>3000</v>
      </c>
      <c r="U53" s="37"/>
      <c r="V53" s="45">
        <f t="shared" si="17"/>
        <v>0</v>
      </c>
      <c r="W53" s="45">
        <f t="shared" si="5"/>
        <v>0</v>
      </c>
      <c r="X53" s="45">
        <f t="shared" si="6"/>
        <v>0</v>
      </c>
      <c r="Y53" s="45">
        <f t="shared" si="7"/>
        <v>0</v>
      </c>
      <c r="Z53" s="45">
        <f t="shared" si="8"/>
        <v>0</v>
      </c>
      <c r="AA53" s="45">
        <f>IF(B53&lt;'3. Lüderitz Industry'!$L$12,"0",IF('4. Lüderitz Population Calc'!B53&lt;'3. Lüderitz Industry'!$L$13,'3. Lüderitz Industry'!$M$12,IF('4. Lüderitz Population Calc'!B53&lt;'3. Lüderitz Industry'!$L$14,'3. Lüderitz Industry'!$M$13,('3. Lüderitz Industry'!$M$14+'3. Lüderitz Industry'!$M$13))))</f>
        <v>18000</v>
      </c>
      <c r="AB53" s="45">
        <f t="shared" si="9"/>
        <v>0</v>
      </c>
      <c r="AC53" s="45">
        <f t="shared" si="10"/>
        <v>0</v>
      </c>
      <c r="AD53" s="45">
        <f t="shared" si="11"/>
        <v>0</v>
      </c>
      <c r="AE53" s="45">
        <f t="shared" si="12"/>
        <v>0</v>
      </c>
      <c r="AF53" s="45">
        <f t="shared" si="13"/>
        <v>0</v>
      </c>
      <c r="AG53" s="45">
        <f t="shared" si="14"/>
        <v>0</v>
      </c>
      <c r="AH53" s="45">
        <f t="shared" si="15"/>
        <v>0</v>
      </c>
      <c r="AI53" s="45">
        <f>IF(B53&lt;'3. Lüderitz Industry'!$L$20,"0",IF('4. Lüderitz Population Calc'!B53&lt;'3. Lüderitz Industry'!$L$21,'3. Lüderitz Industry'!$O$20,IF('4. Lüderitz Population Calc'!B53&lt;'3. Lüderitz Industry'!$L$22,'3. Lüderitz Industry'!$O$21,('3. Lüderitz Industry'!$O$21+'3. Lüderitz Industry'!$O$22))))</f>
        <v>3000</v>
      </c>
      <c r="AJ53" s="45">
        <f t="shared" si="16"/>
        <v>0</v>
      </c>
      <c r="AK53" s="37"/>
      <c r="AL53" s="45">
        <f>(AL52+(AL52*Lüderitz_PopulationGrowthRate))+('4. Lüderitz Population Calc'!V53*Resident_Job_Multiplier)</f>
        <v>45438.590687016098</v>
      </c>
      <c r="AM53" s="45">
        <f>(AM52+(AM52*Lüderitz_PopulationGrowthRate))+('4. Lüderitz Population Calc'!W53*'2. Control Panel - Lüderitz'!$G$12)</f>
        <v>68161.843612114812</v>
      </c>
      <c r="AN53" s="45">
        <f>(AN52+(AN52*Lüderitz_PopulationGrowthRate))+('4. Lüderitz Population Calc'!Y53*'2. Control Panel - Lüderitz'!$G$12)+Z53</f>
        <v>52446.646246853757</v>
      </c>
      <c r="AO53" s="45">
        <f>(AO52+(AO52*'2. Control Panel - Lüderitz'!$D$10))+('4. Lüderitz Population Calc'!AB53*'2. Control Panel - Lüderitz'!$G$12)</f>
        <v>106225.4932046368</v>
      </c>
      <c r="AP53" s="45">
        <f>(AP52+(AP52*'2. Control Panel - Lüderitz'!$D$10))+('4. Lüderitz Population Calc'!AD53*'2. Control Panel - Lüderitz'!$G$12)+AE53</f>
        <v>75169.899171952507</v>
      </c>
      <c r="AQ53" s="45">
        <f>(AQ52+(AQ52*'2. Control Panel - Lüderitz'!$D$10))+('4. Lüderitz Population Calc'!AF53*'2. Control Panel - Lüderitz'!$G$12)</f>
        <v>128948.74612973556</v>
      </c>
      <c r="AR53" s="45">
        <f>(AR52+(AR52*'2. Control Panel - Lüderitz'!$D$10))+('4. Lüderitz Population Calc'!AH53*'2. Control Panel - Lüderitz'!$G$12)+(AI53-AI52)</f>
        <v>132277.25688920284</v>
      </c>
      <c r="AS53" s="45">
        <f>(AS52+(AS52*'2. Control Panel - Lüderitz'!$D$10))+('4. Lüderitz Population Calc'!AJ53*'2. Control Panel - Lüderitz'!$G$12)</f>
        <v>136537.75066132098</v>
      </c>
      <c r="AU53" s="45">
        <f t="shared" si="2"/>
        <v>45438.590687016098</v>
      </c>
      <c r="AV53" s="45">
        <f t="shared" si="3"/>
        <v>68161.843612114812</v>
      </c>
      <c r="AW53" s="45">
        <f>(AW52+(AW52*'2. Control Panel - Lüderitz'!$D$10))+('4. Lüderitz Population Calc'!Y53*Resident_Job_Multiplier)</f>
        <v>45438.590687016098</v>
      </c>
      <c r="AX53" s="45">
        <f>(AX52+(AX52*Lüderitz_PopulationGrowthRate))+('4. Lüderitz Population Calc'!Y53*Resident_Job_Multiplier)+(Z53*Resident__Job_Multiplier_wO_H2_worker)</f>
        <v>57212.124027543352</v>
      </c>
      <c r="AY53" s="45">
        <f>(AY52+(AY52*Lüderitz_PopulationGrowthRate))+('4. Lüderitz Population Calc'!AD53*Resident_Job_Multiplier)</f>
        <v>68161.843612114812</v>
      </c>
      <c r="AZ53" s="45">
        <f>(AZ52+(AZ52*Lüderitz_PopulationGrowthRate))+('4. Lüderitz Population Calc'!AD53*Resident_Job_Multiplier)+((AF53-AD53)*Resident__Job_Multiplier_wO_H2_worker)</f>
        <v>112952.19283562485</v>
      </c>
      <c r="BA53" s="45">
        <f>(BA52+(BA52*Lüderitz_PopulationGrowthRate))+('4. Lüderitz Population Calc'!AD53*Resident_Job_Multiplier)+((AF53-AD53)*Resident__Job_Multiplier_wO_H2_worker)</f>
        <v>112952.19283562485</v>
      </c>
      <c r="BB53" s="45">
        <f>(BB52+(BB52*Lüderitz_PopulationGrowthRate))+('4. Lüderitz Population Calc'!AD53*Resident_Job_Multiplier)+((AF53-AD53)*Resident__Job_Multiplier_wO_H2_worker)+((AI53-AI52)*Resident__Job_Multiplier_wO_H2_worker)</f>
        <v>118544.09091152991</v>
      </c>
    </row>
    <row r="54" spans="1:54" x14ac:dyDescent="0.2">
      <c r="B54" s="44">
        <f t="shared" si="4"/>
        <v>2048</v>
      </c>
      <c r="C54" s="45">
        <f>C53+(C53*'2. Control Panel - Lüderitz'!$D$10)</f>
        <v>27418.329381010968</v>
      </c>
      <c r="D54" s="37"/>
      <c r="E54" s="45">
        <f>IF(B54&lt;'3. Lüderitz Industry'!$C$12,"",IF('4. Lüderitz Population Calc'!B54&lt;'3. Lüderitz Industry'!$C$16,'3. Lüderitz Industry'!$D$15,IF('4. Lüderitz Population Calc'!B54&lt;'3. Lüderitz Industry'!$C$17,'3. Lüderitz Industry'!$D$16,'3. Lüderitz Industry'!$D$17)))</f>
        <v>600</v>
      </c>
      <c r="F54" s="45">
        <f>IF(B54&lt;'3. Lüderitz Industry'!$C$12,"",IF('4. Lüderitz Population Calc'!B54&lt;'3. Lüderitz Industry'!$C$16,'3. Lüderitz Industry'!$E$15,IF('4. Lüderitz Population Calc'!B54&lt;'3. Lüderitz Industry'!$C$17,'3. Lüderitz Industry'!$E$16,'3. Lüderitz Industry'!$E$17)))</f>
        <v>1500</v>
      </c>
      <c r="G54" s="45">
        <f>IF(B54&lt;'3. Lüderitz Industry'!$C$26,"",IF(B54&lt;'3. Lüderitz Industry'!$C$27,'3. Lüderitz Industry'!$D$26,IF('4. Lüderitz Population Calc'!B54&lt;'3. Lüderitz Industry'!$C$28,'3. Lüderitz Industry'!$D$27,'3. Lüderitz Industry'!$D$28)))</f>
        <v>874.28571428571422</v>
      </c>
      <c r="H54" s="45">
        <f>IF(B54&lt;'3. Lüderitz Industry'!$C$26,"",IF(B54&lt;'3. Lüderitz Industry'!$C$27,'3. Lüderitz Industry'!$E$26,IF('4. Lüderitz Population Calc'!B54&lt;'3. Lüderitz Industry'!$C$28,'3. Lüderitz Industry'!$E$27,'3. Lüderitz Industry'!$E$28)))</f>
        <v>2185.7142857142853</v>
      </c>
      <c r="I54" s="45">
        <f>IF(B54&lt;'3. Lüderitz Industry'!$C$32,"",'3. Lüderitz Industry'!$C$33)</f>
        <v>310</v>
      </c>
      <c r="J54" s="45">
        <f>IF(B54&lt;'3. Lüderitz Industry'!$C$38,"",'3. Lüderitz Industry'!$C$39)</f>
        <v>50</v>
      </c>
      <c r="K54" s="45">
        <f>IF(B54&lt;'3. Lüderitz Industry'!$C$45,"",'3. Lüderitz Industry'!$C$46)</f>
        <v>0</v>
      </c>
      <c r="L54" s="45">
        <f>IF(B54&lt;'3. Lüderitz Industry'!$C$52,"",'3. Lüderitz Industry'!$C$53)</f>
        <v>200</v>
      </c>
      <c r="M54" s="45">
        <f>IF(B54&lt;'3. Lüderitz Industry'!$I$11,"",'3. Lüderitz Industry'!$I$12)</f>
        <v>7000</v>
      </c>
      <c r="N54" s="45">
        <f>IF(B54&lt;'3. Lüderitz Industry'!$I$17,"",'3. Lüderitz Industry'!$I$18)</f>
        <v>0</v>
      </c>
      <c r="O54" s="45">
        <f>IF(B54&lt;'3. Lüderitz Industry'!$I$23,"",'3. Lüderitz Industry'!$I$24)</f>
        <v>0</v>
      </c>
      <c r="P54" s="45">
        <f>IF(B54&lt;'3. Lüderitz Industry'!$I$29,"",'3. Lüderitz Industry'!$I$30)</f>
        <v>0</v>
      </c>
      <c r="Q54" s="45">
        <f>IF(B54&lt;'3. Lüderitz Industry'!$L$12,"",IF('4. Lüderitz Population Calc'!B54&lt;'3. Lüderitz Industry'!$L$13,'3. Lüderitz Industry'!$O$12,IF('4. Lüderitz Population Calc'!B54&lt;'3. Lüderitz Industry'!$L$14,'3. Lüderitz Industry'!$O$13,'3. Lüderitz Industry'!$O$14)))</f>
        <v>0</v>
      </c>
      <c r="R54" s="45">
        <f>IF(B54&lt;'3. Lüderitz Industry'!$L$12,"",IF('4. Lüderitz Population Calc'!B54&lt;'3. Lüderitz Industry'!$L$13,'3. Lüderitz Industry'!$N$12,IF('4. Lüderitz Population Calc'!B54&lt;'3. Lüderitz Industry'!$L$14,'3. Lüderitz Industry'!$N$13,'3. Lüderitz Industry'!$N$14)))</f>
        <v>3000</v>
      </c>
      <c r="S54" s="45">
        <f>IF(B54&lt;'3. Lüderitz Industry'!$L$20,"",IF('4. Lüderitz Population Calc'!B54&lt;'3. Lüderitz Industry'!$L$21,'3. Lüderitz Industry'!$P$20,IF('4. Lüderitz Population Calc'!B54&lt;'3. Lüderitz Industry'!$L$22,'3. Lüderitz Industry'!$P$21,'3. Lüderitz Industry'!$P$22)))</f>
        <v>0</v>
      </c>
      <c r="T54" s="45">
        <f>IF(B54&lt;'3. Lüderitz Industry'!$L$20,"",IF('4. Lüderitz Population Calc'!B54&lt;'3. Lüderitz Industry'!$L$21,'3. Lüderitz Industry'!$O$20,IF('4. Lüderitz Population Calc'!B54&lt;'3. Lüderitz Industry'!$L$22,'3. Lüderitz Industry'!$O$21,'3. Lüderitz Industry'!$O$22)))</f>
        <v>3000</v>
      </c>
      <c r="U54" s="37"/>
      <c r="V54" s="45">
        <f t="shared" si="17"/>
        <v>0</v>
      </c>
      <c r="W54" s="45">
        <f t="shared" si="5"/>
        <v>0</v>
      </c>
      <c r="X54" s="45">
        <f t="shared" si="6"/>
        <v>0</v>
      </c>
      <c r="Y54" s="45">
        <f t="shared" si="7"/>
        <v>0</v>
      </c>
      <c r="Z54" s="45">
        <f t="shared" si="8"/>
        <v>0</v>
      </c>
      <c r="AA54" s="45">
        <f>IF(B54&lt;'3. Lüderitz Industry'!$L$12,"0",IF('4. Lüderitz Population Calc'!B54&lt;'3. Lüderitz Industry'!$L$13,'3. Lüderitz Industry'!$M$12,IF('4. Lüderitz Population Calc'!B54&lt;'3. Lüderitz Industry'!$L$14,'3. Lüderitz Industry'!$M$13,('3. Lüderitz Industry'!$M$14+'3. Lüderitz Industry'!$M$13))))</f>
        <v>18000</v>
      </c>
      <c r="AB54" s="45">
        <f t="shared" si="9"/>
        <v>0</v>
      </c>
      <c r="AC54" s="45">
        <f t="shared" si="10"/>
        <v>0</v>
      </c>
      <c r="AD54" s="45">
        <f t="shared" si="11"/>
        <v>0</v>
      </c>
      <c r="AE54" s="45">
        <f t="shared" si="12"/>
        <v>0</v>
      </c>
      <c r="AF54" s="45">
        <f t="shared" si="13"/>
        <v>0</v>
      </c>
      <c r="AG54" s="45">
        <f t="shared" si="14"/>
        <v>0</v>
      </c>
      <c r="AH54" s="45">
        <f t="shared" si="15"/>
        <v>0</v>
      </c>
      <c r="AI54" s="45">
        <f>IF(B54&lt;'3. Lüderitz Industry'!$L$20,"0",IF('4. Lüderitz Population Calc'!B54&lt;'3. Lüderitz Industry'!$L$21,'3. Lüderitz Industry'!$O$20,IF('4. Lüderitz Population Calc'!B54&lt;'3. Lüderitz Industry'!$L$22,'3. Lüderitz Industry'!$O$21,('3. Lüderitz Industry'!$O$21+'3. Lüderitz Industry'!$O$22))))</f>
        <v>3000</v>
      </c>
      <c r="AJ54" s="45">
        <f t="shared" si="16"/>
        <v>0</v>
      </c>
      <c r="AK54" s="37"/>
      <c r="AL54" s="45">
        <f>(AL53+(AL53*Lüderitz_PopulationGrowthRate))+('4. Lüderitz Population Calc'!V54*Resident_Job_Multiplier)</f>
        <v>46392.801091443434</v>
      </c>
      <c r="AM54" s="45">
        <f>(AM53+(AM53*Lüderitz_PopulationGrowthRate))+('4. Lüderitz Population Calc'!W54*'2. Control Panel - Lüderitz'!$G$12)</f>
        <v>69593.242327969216</v>
      </c>
      <c r="AN54" s="45">
        <f>(AN53+(AN53*Lüderitz_PopulationGrowthRate))+('4. Lüderitz Population Calc'!Y54*'2. Control Panel - Lüderitz'!$G$12)+Z54</f>
        <v>53548.025818037684</v>
      </c>
      <c r="AO54" s="45">
        <f>(AO53+(AO53*'2. Control Panel - Lüderitz'!$D$10))+('4. Lüderitz Population Calc'!AB54*'2. Control Panel - Lüderitz'!$G$12)</f>
        <v>108456.22856193417</v>
      </c>
      <c r="AP54" s="45">
        <f>(AP53+(AP53*'2. Control Panel - Lüderitz'!$D$10))+('4. Lüderitz Population Calc'!AD54*'2. Control Panel - Lüderitz'!$G$12)+AE54</f>
        <v>76748.467054563516</v>
      </c>
      <c r="AQ54" s="45">
        <f>(AQ53+(AQ53*'2. Control Panel - Lüderitz'!$D$10))+('4. Lüderitz Population Calc'!AF54*'2. Control Panel - Lüderitz'!$G$12)</f>
        <v>131656.66979846</v>
      </c>
      <c r="AR54" s="45">
        <f>(AR53+(AR53*'2. Control Panel - Lüderitz'!$D$10))+('4. Lüderitz Population Calc'!AH54*'2. Control Panel - Lüderitz'!$G$12)+(AI54-AI53)</f>
        <v>135055.07928387608</v>
      </c>
      <c r="AS54" s="45">
        <f>(AS53+(AS53*'2. Control Panel - Lüderitz'!$D$10))+('4. Lüderitz Population Calc'!AJ54*'2. Control Panel - Lüderitz'!$G$12)</f>
        <v>139405.04342520871</v>
      </c>
      <c r="AU54" s="45">
        <f t="shared" si="2"/>
        <v>46392.801091443434</v>
      </c>
      <c r="AV54" s="45">
        <f t="shared" si="3"/>
        <v>69593.242327969216</v>
      </c>
      <c r="AW54" s="45">
        <f>(AW53+(AW53*'2. Control Panel - Lüderitz'!$D$10))+('4. Lüderitz Population Calc'!Y54*Resident_Job_Multiplier)</f>
        <v>46392.801091443434</v>
      </c>
      <c r="AX54" s="45">
        <f>(AX53+(AX53*Lüderitz_PopulationGrowthRate))+('4. Lüderitz Population Calc'!Y54*Resident_Job_Multiplier)+(Z54*Resident__Job_Multiplier_wO_H2_worker)</f>
        <v>58413.57863212176</v>
      </c>
      <c r="AY54" s="45">
        <f>(AY53+(AY53*Lüderitz_PopulationGrowthRate))+('4. Lüderitz Population Calc'!AD54*Resident_Job_Multiplier)</f>
        <v>69593.242327969216</v>
      </c>
      <c r="AZ54" s="45">
        <f>(AZ53+(AZ53*Lüderitz_PopulationGrowthRate))+('4. Lüderitz Population Calc'!AD54*Resident_Job_Multiplier)+((AF54-AD54)*Resident__Job_Multiplier_wO_H2_worker)</f>
        <v>115324.18888517297</v>
      </c>
      <c r="BA54" s="45">
        <f>(BA53+(BA53*Lüderitz_PopulationGrowthRate))+('4. Lüderitz Population Calc'!AD54*Resident_Job_Multiplier)+((AF54-AD54)*Resident__Job_Multiplier_wO_H2_worker)</f>
        <v>115324.18888517297</v>
      </c>
      <c r="BB54" s="45">
        <f>(BB53+(BB53*Lüderitz_PopulationGrowthRate))+('4. Lüderitz Population Calc'!AD54*Resident_Job_Multiplier)+((AF54-AD54)*Resident__Job_Multiplier_wO_H2_worker)+((AI54-AI53)*Resident__Job_Multiplier_wO_H2_worker)</f>
        <v>121033.51682067204</v>
      </c>
    </row>
    <row r="55" spans="1:54" x14ac:dyDescent="0.2">
      <c r="B55" s="44">
        <f>B54+1</f>
        <v>2049</v>
      </c>
      <c r="C55" s="45">
        <f>C54+(C54*'2. Control Panel - Lüderitz'!$D$10)</f>
        <v>27994.114298012199</v>
      </c>
      <c r="D55" s="37"/>
      <c r="E55" s="45">
        <f>IF(B55&lt;'3. Lüderitz Industry'!$C$12,"",IF('4. Lüderitz Population Calc'!B55&lt;'3. Lüderitz Industry'!$C$16,'3. Lüderitz Industry'!$D$15,IF('4. Lüderitz Population Calc'!B55&lt;'3. Lüderitz Industry'!$C$17,'3. Lüderitz Industry'!$D$16,'3. Lüderitz Industry'!$D$17)))</f>
        <v>600</v>
      </c>
      <c r="F55" s="45">
        <f>IF(B55&lt;'3. Lüderitz Industry'!$C$12,"",IF('4. Lüderitz Population Calc'!B55&lt;'3. Lüderitz Industry'!$C$16,'3. Lüderitz Industry'!$E$15,IF('4. Lüderitz Population Calc'!B55&lt;'3. Lüderitz Industry'!$C$17,'3. Lüderitz Industry'!$E$16,'3. Lüderitz Industry'!$E$17)))</f>
        <v>1500</v>
      </c>
      <c r="G55" s="45">
        <f>IF(B55&lt;'3. Lüderitz Industry'!$C$26,"",IF(B55&lt;'3. Lüderitz Industry'!$C$27,'3. Lüderitz Industry'!$D$26,IF('4. Lüderitz Population Calc'!B55&lt;'3. Lüderitz Industry'!$C$28,'3. Lüderitz Industry'!$D$27,'3. Lüderitz Industry'!$D$28)))</f>
        <v>874.28571428571422</v>
      </c>
      <c r="H55" s="45">
        <f>IF(B55&lt;'3. Lüderitz Industry'!$C$26,"",IF(B55&lt;'3. Lüderitz Industry'!$C$27,'3. Lüderitz Industry'!$E$26,IF('4. Lüderitz Population Calc'!B55&lt;'3. Lüderitz Industry'!$C$28,'3. Lüderitz Industry'!$E$27,'3. Lüderitz Industry'!$E$28)))</f>
        <v>2185.7142857142853</v>
      </c>
      <c r="I55" s="45">
        <f>IF(B55&lt;'3. Lüderitz Industry'!$C$32,"",'3. Lüderitz Industry'!$C$33)</f>
        <v>310</v>
      </c>
      <c r="J55" s="45">
        <f>IF(B55&lt;'3. Lüderitz Industry'!$C$38,"",'3. Lüderitz Industry'!$C$39)</f>
        <v>50</v>
      </c>
      <c r="K55" s="45">
        <f>IF(B55&lt;'3. Lüderitz Industry'!$C$45,"",'3. Lüderitz Industry'!$C$46)</f>
        <v>0</v>
      </c>
      <c r="L55" s="45">
        <f>IF(B55&lt;'3. Lüderitz Industry'!$C$52,"",'3. Lüderitz Industry'!$C$53)</f>
        <v>200</v>
      </c>
      <c r="M55" s="45">
        <f>IF(B55&lt;'3. Lüderitz Industry'!$I$11,"",'3. Lüderitz Industry'!$I$12)</f>
        <v>7000</v>
      </c>
      <c r="N55" s="45">
        <f>IF(B55&lt;'3. Lüderitz Industry'!$I$17,"",'3. Lüderitz Industry'!$I$18)</f>
        <v>0</v>
      </c>
      <c r="O55" s="45">
        <f>IF(B55&lt;'3. Lüderitz Industry'!$I$23,"",'3. Lüderitz Industry'!$I$24)</f>
        <v>0</v>
      </c>
      <c r="P55" s="45">
        <f>IF(B55&lt;'3. Lüderitz Industry'!$I$29,"",'3. Lüderitz Industry'!$I$30)</f>
        <v>0</v>
      </c>
      <c r="Q55" s="45">
        <f>IF(B55&lt;'3. Lüderitz Industry'!$L$12,"",IF('4. Lüderitz Population Calc'!B55&lt;'3. Lüderitz Industry'!$L$13,'3. Lüderitz Industry'!$O$12,IF('4. Lüderitz Population Calc'!B55&lt;'3. Lüderitz Industry'!$L$14,'3. Lüderitz Industry'!$O$13,'3. Lüderitz Industry'!$O$14)))</f>
        <v>0</v>
      </c>
      <c r="R55" s="45">
        <f>IF(B55&lt;'3. Lüderitz Industry'!$L$12,"",IF('4. Lüderitz Population Calc'!B55&lt;'3. Lüderitz Industry'!$L$13,'3. Lüderitz Industry'!$N$12,IF('4. Lüderitz Population Calc'!B55&lt;'3. Lüderitz Industry'!$L$14,'3. Lüderitz Industry'!$N$13,'3. Lüderitz Industry'!$N$14)))</f>
        <v>3000</v>
      </c>
      <c r="S55" s="45">
        <f>IF(B55&lt;'3. Lüderitz Industry'!$L$20,"",IF('4. Lüderitz Population Calc'!B55&lt;'3. Lüderitz Industry'!$L$21,'3. Lüderitz Industry'!$P$20,IF('4. Lüderitz Population Calc'!B55&lt;'3. Lüderitz Industry'!$L$22,'3. Lüderitz Industry'!$P$21,'3. Lüderitz Industry'!$P$22)))</f>
        <v>0</v>
      </c>
      <c r="T55" s="45">
        <f>IF(B55&lt;'3. Lüderitz Industry'!$L$20,"",IF('4. Lüderitz Population Calc'!B55&lt;'3. Lüderitz Industry'!$L$21,'3. Lüderitz Industry'!$O$20,IF('4. Lüderitz Population Calc'!B55&lt;'3. Lüderitz Industry'!$L$22,'3. Lüderitz Industry'!$O$21,'3. Lüderitz Industry'!$O$22)))</f>
        <v>3000</v>
      </c>
      <c r="U55" s="37"/>
      <c r="V55" s="45">
        <f t="shared" si="17"/>
        <v>0</v>
      </c>
      <c r="W55" s="45">
        <f t="shared" si="5"/>
        <v>0</v>
      </c>
      <c r="X55" s="45">
        <f t="shared" si="6"/>
        <v>0</v>
      </c>
      <c r="Y55" s="45">
        <f t="shared" si="7"/>
        <v>0</v>
      </c>
      <c r="Z55" s="45">
        <f t="shared" si="8"/>
        <v>0</v>
      </c>
      <c r="AA55" s="45">
        <f>IF(B55&lt;'3. Lüderitz Industry'!$L$12,"0",IF('4. Lüderitz Population Calc'!B55&lt;'3. Lüderitz Industry'!$L$13,'3. Lüderitz Industry'!$M$12,IF('4. Lüderitz Population Calc'!B55&lt;'3. Lüderitz Industry'!$L$14,'3. Lüderitz Industry'!$M$13,('3. Lüderitz Industry'!$M$14+'3. Lüderitz Industry'!$M$13))))</f>
        <v>18000</v>
      </c>
      <c r="AB55" s="45">
        <f t="shared" si="9"/>
        <v>0</v>
      </c>
      <c r="AC55" s="45">
        <f t="shared" si="10"/>
        <v>0</v>
      </c>
      <c r="AD55" s="45">
        <f t="shared" si="11"/>
        <v>0</v>
      </c>
      <c r="AE55" s="45">
        <f t="shared" si="12"/>
        <v>0</v>
      </c>
      <c r="AF55" s="45">
        <f t="shared" si="13"/>
        <v>0</v>
      </c>
      <c r="AG55" s="45">
        <f t="shared" si="14"/>
        <v>0</v>
      </c>
      <c r="AH55" s="45">
        <f t="shared" si="15"/>
        <v>0</v>
      </c>
      <c r="AI55" s="45">
        <f>IF(B55&lt;'3. Lüderitz Industry'!$L$20,"0",IF('4. Lüderitz Population Calc'!B55&lt;'3. Lüderitz Industry'!$L$21,'3. Lüderitz Industry'!$O$20,IF('4. Lüderitz Population Calc'!B55&lt;'3. Lüderitz Industry'!$L$22,'3. Lüderitz Industry'!$O$21,('3. Lüderitz Industry'!$O$21+'3. Lüderitz Industry'!$O$22))))</f>
        <v>3000</v>
      </c>
      <c r="AJ55" s="45">
        <f t="shared" si="16"/>
        <v>0</v>
      </c>
      <c r="AK55" s="37"/>
      <c r="AL55" s="45">
        <f>(AL54+(AL54*Lüderitz_PopulationGrowthRate))+('4. Lüderitz Population Calc'!V55*Resident_Job_Multiplier)</f>
        <v>47367.04991436375</v>
      </c>
      <c r="AM55" s="45">
        <f>(AM54+(AM54*Lüderitz_PopulationGrowthRate))+('4. Lüderitz Population Calc'!W55*'2. Control Panel - Lüderitz'!$G$12)</f>
        <v>71054.700416856576</v>
      </c>
      <c r="AN55" s="45">
        <f>(AN54+(AN54*Lüderitz_PopulationGrowthRate))+('4. Lüderitz Population Calc'!Y55*'2. Control Panel - Lüderitz'!$G$12)+Z55</f>
        <v>54672.534360216472</v>
      </c>
      <c r="AO55" s="45">
        <f>(AO54+(AO54*'2. Control Panel - Lüderitz'!$D$10))+('4. Lüderitz Population Calc'!AB55*'2. Control Panel - Lüderitz'!$G$12)</f>
        <v>110733.80936173479</v>
      </c>
      <c r="AP55" s="45">
        <f>(AP54+(AP54*'2. Control Panel - Lüderitz'!$D$10))+('4. Lüderitz Population Calc'!AD55*'2. Control Panel - Lüderitz'!$G$12)+AE55</f>
        <v>78360.184862709357</v>
      </c>
      <c r="AQ55" s="45">
        <f>(AQ54+(AQ54*'2. Control Panel - Lüderitz'!$D$10))+('4. Lüderitz Population Calc'!AF55*'2. Control Panel - Lüderitz'!$G$12)</f>
        <v>134421.45986422765</v>
      </c>
      <c r="AR55" s="45">
        <f>(AR54+(AR54*'2. Control Panel - Lüderitz'!$D$10))+('4. Lüderitz Population Calc'!AH55*'2. Control Panel - Lüderitz'!$G$12)+(AI55-AI54)</f>
        <v>137891.23594883748</v>
      </c>
      <c r="AS55" s="45">
        <f>(AS54+(AS54*'2. Control Panel - Lüderitz'!$D$10))+('4. Lüderitz Population Calc'!AJ55*'2. Control Panel - Lüderitz'!$G$12)</f>
        <v>142332.5493371381</v>
      </c>
      <c r="AU55" s="45">
        <f t="shared" si="2"/>
        <v>47367.04991436375</v>
      </c>
      <c r="AV55" s="45">
        <f t="shared" si="3"/>
        <v>71054.700416856576</v>
      </c>
      <c r="AW55" s="45">
        <f>(AW54+(AW54*'2. Control Panel - Lüderitz'!$D$10))+('4. Lüderitz Population Calc'!Y55*Resident_Job_Multiplier)</f>
        <v>47367.04991436375</v>
      </c>
      <c r="AX55" s="45">
        <f>(AX54+(AX54*Lüderitz_PopulationGrowthRate))+('4. Lüderitz Population Calc'!Y55*Resident_Job_Multiplier)+(Z55*Resident__Job_Multiplier_wO_H2_worker)</f>
        <v>59640.263783396316</v>
      </c>
      <c r="AY55" s="45">
        <f>(AY54+(AY54*Lüderitz_PopulationGrowthRate))+('4. Lüderitz Population Calc'!AD55*Resident_Job_Multiplier)</f>
        <v>71054.700416856576</v>
      </c>
      <c r="AZ55" s="45">
        <f>(AZ54+(AZ54*Lüderitz_PopulationGrowthRate))+('4. Lüderitz Population Calc'!AD55*Resident_Job_Multiplier)+((AF55-AD55)*Resident__Job_Multiplier_wO_H2_worker)</f>
        <v>117745.99685176161</v>
      </c>
      <c r="BA55" s="45">
        <f>(BA54+(BA54*Lüderitz_PopulationGrowthRate))+('4. Lüderitz Population Calc'!AD55*Resident_Job_Multiplier)+((AF55-AD55)*Resident__Job_Multiplier_wO_H2_worker)</f>
        <v>117745.99685176161</v>
      </c>
      <c r="BB55" s="45">
        <f>(BB54+(BB54*Lüderitz_PopulationGrowthRate))+('4. Lüderitz Population Calc'!AD55*Resident_Job_Multiplier)+((AF55-AD55)*Resident__Job_Multiplier_wO_H2_worker)+((AI55-AI54)*Resident__Job_Multiplier_wO_H2_worker)</f>
        <v>123575.22067390615</v>
      </c>
    </row>
    <row r="56" spans="1:54" x14ac:dyDescent="0.2">
      <c r="B56" s="44">
        <f>B55+1</f>
        <v>2050</v>
      </c>
      <c r="C56" s="45">
        <f>C55+(C55*'2. Control Panel - Lüderitz'!$D$10)</f>
        <v>28581.990698270456</v>
      </c>
      <c r="D56" s="37"/>
      <c r="E56" s="45">
        <f>IF(B56&lt;'3. Lüderitz Industry'!$C$12,"",IF('4. Lüderitz Population Calc'!B56&lt;'3. Lüderitz Industry'!$C$16,'3. Lüderitz Industry'!$D$15,IF('4. Lüderitz Population Calc'!B56&lt;'3. Lüderitz Industry'!$C$17,'3. Lüderitz Industry'!$D$16,'3. Lüderitz Industry'!$D$17)))</f>
        <v>600</v>
      </c>
      <c r="F56" s="45">
        <f>IF(B56&lt;'3. Lüderitz Industry'!$C$12,"",IF('4. Lüderitz Population Calc'!B56&lt;'3. Lüderitz Industry'!$C$16,'3. Lüderitz Industry'!$E$15,IF('4. Lüderitz Population Calc'!B56&lt;'3. Lüderitz Industry'!$C$17,'3. Lüderitz Industry'!$E$16,'3. Lüderitz Industry'!$E$17)))</f>
        <v>1500</v>
      </c>
      <c r="G56" s="45">
        <f>IF(B56&lt;'3. Lüderitz Industry'!$C$26,"",IF(B56&lt;'3. Lüderitz Industry'!$C$27,'3. Lüderitz Industry'!$D$26,IF('4. Lüderitz Population Calc'!B56&lt;'3. Lüderitz Industry'!$C$28,'3. Lüderitz Industry'!$D$27,'3. Lüderitz Industry'!$D$28)))</f>
        <v>874.28571428571422</v>
      </c>
      <c r="H56" s="45">
        <f>IF(B56&lt;'3. Lüderitz Industry'!$C$26,"",IF(B56&lt;'3. Lüderitz Industry'!$C$27,'3. Lüderitz Industry'!$E$26,IF('4. Lüderitz Population Calc'!B56&lt;'3. Lüderitz Industry'!$C$28,'3. Lüderitz Industry'!$E$27,'3. Lüderitz Industry'!$E$28)))</f>
        <v>2185.7142857142853</v>
      </c>
      <c r="I56" s="45">
        <f>IF(B56&lt;'3. Lüderitz Industry'!$C$32,"",'3. Lüderitz Industry'!$C$33)</f>
        <v>310</v>
      </c>
      <c r="J56" s="45">
        <f>IF(B56&lt;'3. Lüderitz Industry'!$C$38,"",'3. Lüderitz Industry'!$C$39)</f>
        <v>50</v>
      </c>
      <c r="K56" s="45">
        <f>IF(B56&lt;'3. Lüderitz Industry'!$C$45,"",'3. Lüderitz Industry'!$C$46)</f>
        <v>0</v>
      </c>
      <c r="L56" s="45">
        <f>IF(B56&lt;'3. Lüderitz Industry'!$C$52,"",'3. Lüderitz Industry'!$C$53)</f>
        <v>200</v>
      </c>
      <c r="M56" s="45">
        <f>IF(B56&lt;'3. Lüderitz Industry'!$I$11,"",'3. Lüderitz Industry'!$I$12)</f>
        <v>7000</v>
      </c>
      <c r="N56" s="45">
        <f>IF(B56&lt;'3. Lüderitz Industry'!$I$17,"",'3. Lüderitz Industry'!$I$18)</f>
        <v>0</v>
      </c>
      <c r="O56" s="45">
        <f>IF(B56&lt;'3. Lüderitz Industry'!$I$23,"",'3. Lüderitz Industry'!$I$24)</f>
        <v>0</v>
      </c>
      <c r="P56" s="45">
        <f>IF(B56&lt;'3. Lüderitz Industry'!$I$29,"",'3. Lüderitz Industry'!$I$30)</f>
        <v>0</v>
      </c>
      <c r="Q56" s="45">
        <f>IF(B56&lt;'3. Lüderitz Industry'!$L$12,"",IF('4. Lüderitz Population Calc'!B56&lt;'3. Lüderitz Industry'!$L$13,'3. Lüderitz Industry'!$O$12,IF('4. Lüderitz Population Calc'!B56&lt;'3. Lüderitz Industry'!$L$14,'3. Lüderitz Industry'!$O$13,'3. Lüderitz Industry'!$O$14)))</f>
        <v>0</v>
      </c>
      <c r="R56" s="45">
        <f>IF(B56&lt;'3. Lüderitz Industry'!$L$12,"",IF('4. Lüderitz Population Calc'!B56&lt;'3. Lüderitz Industry'!$L$13,'3. Lüderitz Industry'!$N$12,IF('4. Lüderitz Population Calc'!B56&lt;'3. Lüderitz Industry'!$L$14,'3. Lüderitz Industry'!$N$13,'3. Lüderitz Industry'!$N$14)))</f>
        <v>3000</v>
      </c>
      <c r="S56" s="45">
        <f>IF(B56&lt;'3. Lüderitz Industry'!$L$20,"",IF('4. Lüderitz Population Calc'!B56&lt;'3. Lüderitz Industry'!$L$21,'3. Lüderitz Industry'!$P$20,IF('4. Lüderitz Population Calc'!B56&lt;'3. Lüderitz Industry'!$L$22,'3. Lüderitz Industry'!$P$21,'3. Lüderitz Industry'!$P$22)))</f>
        <v>0</v>
      </c>
      <c r="T56" s="45">
        <f>IF(B56&lt;'3. Lüderitz Industry'!$L$20,"",IF('4. Lüderitz Population Calc'!B56&lt;'3. Lüderitz Industry'!$L$21,'3. Lüderitz Industry'!$O$20,IF('4. Lüderitz Population Calc'!B56&lt;'3. Lüderitz Industry'!$L$22,'3. Lüderitz Industry'!$O$21,'3. Lüderitz Industry'!$O$22)))</f>
        <v>3000</v>
      </c>
      <c r="U56" s="37"/>
      <c r="V56" s="45">
        <f t="shared" si="17"/>
        <v>0</v>
      </c>
      <c r="W56" s="45">
        <f t="shared" si="5"/>
        <v>0</v>
      </c>
      <c r="X56" s="45">
        <f t="shared" si="6"/>
        <v>0</v>
      </c>
      <c r="Y56" s="45">
        <f t="shared" si="7"/>
        <v>0</v>
      </c>
      <c r="Z56" s="45">
        <f t="shared" si="8"/>
        <v>0</v>
      </c>
      <c r="AA56" s="45">
        <f>IF(B56&lt;'3. Lüderitz Industry'!$L$12,"0",IF('4. Lüderitz Population Calc'!B56&lt;'3. Lüderitz Industry'!$L$13,'3. Lüderitz Industry'!$M$12,IF('4. Lüderitz Population Calc'!B56&lt;'3. Lüderitz Industry'!$L$14,'3. Lüderitz Industry'!$M$13,('3. Lüderitz Industry'!$M$14+'3. Lüderitz Industry'!$M$13))))</f>
        <v>18000</v>
      </c>
      <c r="AB56" s="45">
        <f t="shared" si="9"/>
        <v>0</v>
      </c>
      <c r="AC56" s="45">
        <f t="shared" si="10"/>
        <v>0</v>
      </c>
      <c r="AD56" s="45">
        <f t="shared" si="11"/>
        <v>0</v>
      </c>
      <c r="AE56" s="45">
        <f t="shared" si="12"/>
        <v>0</v>
      </c>
      <c r="AF56" s="45">
        <f t="shared" si="13"/>
        <v>0</v>
      </c>
      <c r="AG56" s="45">
        <f t="shared" si="14"/>
        <v>0</v>
      </c>
      <c r="AH56" s="45">
        <f t="shared" si="15"/>
        <v>0</v>
      </c>
      <c r="AI56" s="45">
        <f>IF(B56&lt;'3. Lüderitz Industry'!$L$20,"0",IF('4. Lüderitz Population Calc'!B56&lt;'3. Lüderitz Industry'!$L$21,'3. Lüderitz Industry'!$O$20,IF('4. Lüderitz Population Calc'!B56&lt;'3. Lüderitz Industry'!$L$22,'3. Lüderitz Industry'!$O$21,('3. Lüderitz Industry'!$O$21+'3. Lüderitz Industry'!$O$22))))</f>
        <v>3000</v>
      </c>
      <c r="AJ56" s="45">
        <f t="shared" si="16"/>
        <v>0</v>
      </c>
      <c r="AK56" s="37"/>
      <c r="AL56" s="45">
        <f>(AL55+(AL55*Lüderitz_PopulationGrowthRate))+('4. Lüderitz Population Calc'!V56*Resident_Job_Multiplier)</f>
        <v>48361.757962565389</v>
      </c>
      <c r="AM56" s="45">
        <f>(AM55+(AM55*Lüderitz_PopulationGrowthRate))+('4. Lüderitz Population Calc'!W56*'2. Control Panel - Lüderitz'!$G$12)</f>
        <v>72546.849125610563</v>
      </c>
      <c r="AN56" s="45">
        <f>(AN55+(AN55*Lüderitz_PopulationGrowthRate))+('4. Lüderitz Population Calc'!Y56*'2. Control Panel - Lüderitz'!$G$12)+Z56</f>
        <v>55820.657581781015</v>
      </c>
      <c r="AO56" s="45">
        <f>(AO55+(AO55*'2. Control Panel - Lüderitz'!$D$10))+('4. Lüderitz Population Calc'!AB56*'2. Control Panel - Lüderitz'!$G$12)</f>
        <v>113059.21935833122</v>
      </c>
      <c r="AP56" s="45">
        <f>(AP55+(AP55*'2. Control Panel - Lüderitz'!$D$10))+('4. Lüderitz Population Calc'!AD56*'2. Control Panel - Lüderitz'!$G$12)+AE56</f>
        <v>80005.748744826255</v>
      </c>
      <c r="AQ56" s="45">
        <f>(AQ55+(AQ55*'2. Control Panel - Lüderitz'!$D$10))+('4. Lüderitz Population Calc'!AF56*'2. Control Panel - Lüderitz'!$G$12)</f>
        <v>137244.31052137644</v>
      </c>
      <c r="AR56" s="45">
        <f>(AR55+(AR55*'2. Control Panel - Lüderitz'!$D$10))+('4. Lüderitz Population Calc'!AH56*'2. Control Panel - Lüderitz'!$G$12)+(AI56-AI55)</f>
        <v>140786.95190376305</v>
      </c>
      <c r="AS56" s="45">
        <f>(AS55+(AS55*'2. Control Panel - Lüderitz'!$D$10))+('4. Lüderitz Population Calc'!AJ56*'2. Control Panel - Lüderitz'!$G$12)</f>
        <v>145321.53287321801</v>
      </c>
      <c r="AU56" s="45">
        <f t="shared" si="2"/>
        <v>48361.757962565389</v>
      </c>
      <c r="AV56" s="45">
        <f t="shared" si="3"/>
        <v>72546.849125610563</v>
      </c>
      <c r="AW56" s="45">
        <f>(AW55+(AW55*'2. Control Panel - Lüderitz'!$D$10))+('4. Lüderitz Population Calc'!Y56*Resident_Job_Multiplier)</f>
        <v>48361.757962565389</v>
      </c>
      <c r="AX56" s="45">
        <f>(AX55+(AX55*Lüderitz_PopulationGrowthRate))+('4. Lüderitz Population Calc'!Y56*Resident_Job_Multiplier)+(Z56*Resident__Job_Multiplier_wO_H2_worker)</f>
        <v>60892.709322847637</v>
      </c>
      <c r="AY56" s="45">
        <f>(AY55+(AY55*Lüderitz_PopulationGrowthRate))+('4. Lüderitz Population Calc'!AD56*Resident_Job_Multiplier)</f>
        <v>72546.849125610563</v>
      </c>
      <c r="AZ56" s="45">
        <f>(AZ55+(AZ55*Lüderitz_PopulationGrowthRate))+('4. Lüderitz Population Calc'!AD56*Resident_Job_Multiplier)+((AF56-AD56)*Resident__Job_Multiplier_wO_H2_worker)</f>
        <v>120218.6627856486</v>
      </c>
      <c r="BA56" s="45">
        <f>(BA55+(BA55*Lüderitz_PopulationGrowthRate))+('4. Lüderitz Population Calc'!AD56*Resident_Job_Multiplier)+((AF56-AD56)*Resident__Job_Multiplier_wO_H2_worker)</f>
        <v>120218.6627856486</v>
      </c>
      <c r="BB56" s="45">
        <f>(BB55+(BB55*Lüderitz_PopulationGrowthRate))+('4. Lüderitz Population Calc'!AD56*Resident_Job_Multiplier)+((AF56-AD56)*Resident__Job_Multiplier_wO_H2_worker)+((AI56-AI55)*Resident__Job_Multiplier_wO_H2_worker)</f>
        <v>126170.30030805818</v>
      </c>
    </row>
    <row r="57" spans="1:54" x14ac:dyDescent="0.2">
      <c r="A57" s="41"/>
    </row>
  </sheetData>
  <sheetProtection sheet="1" objects="1" scenarios="1" selectLockedCells="1"/>
  <mergeCells count="30">
    <mergeCell ref="W29:W30"/>
    <mergeCell ref="AU27:BB28"/>
    <mergeCell ref="AL27:AS28"/>
    <mergeCell ref="V27:AJ28"/>
    <mergeCell ref="X29:AB29"/>
    <mergeCell ref="AC29:AF29"/>
    <mergeCell ref="AG29:AJ29"/>
    <mergeCell ref="AL29:AL30"/>
    <mergeCell ref="AM29:AM30"/>
    <mergeCell ref="B14:D14"/>
    <mergeCell ref="B15:D15"/>
    <mergeCell ref="B9:D9"/>
    <mergeCell ref="B10:D10"/>
    <mergeCell ref="V29:V30"/>
    <mergeCell ref="B4:S5"/>
    <mergeCell ref="E27:T28"/>
    <mergeCell ref="E9:F9"/>
    <mergeCell ref="E10:F10"/>
    <mergeCell ref="E11:F11"/>
    <mergeCell ref="E12:F12"/>
    <mergeCell ref="E13:F13"/>
    <mergeCell ref="E14:F14"/>
    <mergeCell ref="E15:F15"/>
    <mergeCell ref="B25:BB25"/>
    <mergeCell ref="B7:F8"/>
    <mergeCell ref="B16:D16"/>
    <mergeCell ref="E16:F16"/>
    <mergeCell ref="B11:D11"/>
    <mergeCell ref="B12:D12"/>
    <mergeCell ref="B13:D13"/>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EA86-1459-4EF1-B95E-035BFDEA9AC3}">
  <sheetPr codeName="Tabelle6">
    <tabColor theme="6"/>
  </sheetPr>
  <dimension ref="B1:V57"/>
  <sheetViews>
    <sheetView zoomScale="90" zoomScaleNormal="90" workbookViewId="0">
      <selection activeCell="S40" sqref="S40"/>
    </sheetView>
  </sheetViews>
  <sheetFormatPr baseColWidth="10" defaultColWidth="11" defaultRowHeight="14.25" x14ac:dyDescent="0.2"/>
  <cols>
    <col min="1" max="1" width="2.125" style="20" customWidth="1"/>
    <col min="2" max="2" width="11" style="20"/>
    <col min="3" max="3" width="11.75" style="20" customWidth="1"/>
    <col min="4" max="4" width="13.75" style="20" customWidth="1"/>
    <col min="5" max="5" width="13.25" style="20" customWidth="1"/>
    <col min="6" max="16384" width="11" style="20"/>
  </cols>
  <sheetData>
    <row r="1" spans="2:21" ht="9" customHeight="1" x14ac:dyDescent="0.2"/>
    <row r="2" spans="2:21" s="51" customFormat="1" ht="23.45" customHeight="1" x14ac:dyDescent="0.2">
      <c r="B2" s="2" t="s">
        <v>111</v>
      </c>
    </row>
    <row r="3" spans="2:21" ht="12.75" customHeight="1" x14ac:dyDescent="0.2"/>
    <row r="4" spans="2:21" ht="12.75" customHeight="1" x14ac:dyDescent="0.2">
      <c r="B4" s="113" t="s">
        <v>309</v>
      </c>
      <c r="C4" s="114"/>
      <c r="D4" s="114"/>
      <c r="E4" s="114"/>
      <c r="F4" s="114"/>
      <c r="G4" s="114"/>
      <c r="H4" s="114"/>
      <c r="I4" s="114"/>
      <c r="J4" s="114"/>
      <c r="K4" s="114"/>
      <c r="L4" s="114"/>
      <c r="M4" s="114"/>
      <c r="N4" s="114"/>
      <c r="O4" s="114"/>
      <c r="P4" s="114"/>
      <c r="Q4" s="114"/>
      <c r="R4" s="114"/>
      <c r="S4" s="114"/>
      <c r="T4" s="114"/>
      <c r="U4" s="115"/>
    </row>
    <row r="5" spans="2:21" ht="12.75" customHeight="1" x14ac:dyDescent="0.2">
      <c r="B5" s="116"/>
      <c r="C5" s="117"/>
      <c r="D5" s="117"/>
      <c r="E5" s="117"/>
      <c r="F5" s="117"/>
      <c r="G5" s="117"/>
      <c r="H5" s="117"/>
      <c r="I5" s="117"/>
      <c r="J5" s="117"/>
      <c r="K5" s="117"/>
      <c r="L5" s="117"/>
      <c r="M5" s="117"/>
      <c r="N5" s="117"/>
      <c r="O5" s="117"/>
      <c r="P5" s="117"/>
      <c r="Q5" s="117"/>
      <c r="R5" s="117"/>
      <c r="S5" s="117"/>
      <c r="T5" s="117"/>
      <c r="U5" s="118"/>
    </row>
    <row r="6" spans="2:21" ht="12.75" customHeight="1" x14ac:dyDescent="0.2">
      <c r="B6" s="119"/>
      <c r="C6" s="120"/>
      <c r="D6" s="120"/>
      <c r="E6" s="120"/>
      <c r="F6" s="120"/>
      <c r="G6" s="120"/>
      <c r="H6" s="120"/>
      <c r="I6" s="120"/>
      <c r="J6" s="120"/>
      <c r="K6" s="120"/>
      <c r="L6" s="120"/>
      <c r="M6" s="120"/>
      <c r="N6" s="120"/>
      <c r="O6" s="120"/>
      <c r="P6" s="120"/>
      <c r="Q6" s="120"/>
      <c r="R6" s="120"/>
      <c r="S6" s="120"/>
      <c r="T6" s="120"/>
      <c r="U6" s="121"/>
    </row>
    <row r="7" spans="2:21" ht="25.35" customHeight="1" x14ac:dyDescent="0.2"/>
    <row r="8" spans="2:21" ht="25.35" customHeight="1" x14ac:dyDescent="0.2">
      <c r="B8" s="106" t="s">
        <v>72</v>
      </c>
      <c r="C8" s="106"/>
      <c r="D8" s="106"/>
      <c r="E8" s="106"/>
      <c r="F8" s="106"/>
    </row>
    <row r="9" spans="2:21" ht="25.35" customHeight="1" x14ac:dyDescent="0.2">
      <c r="B9" s="106"/>
      <c r="C9" s="106"/>
      <c r="D9" s="106"/>
      <c r="E9" s="106"/>
      <c r="F9" s="106"/>
    </row>
    <row r="10" spans="2:21" ht="37.5" customHeight="1" x14ac:dyDescent="0.2">
      <c r="B10" s="103" t="str">
        <f>'2. Control Panel - Lüderitz'!I11</f>
        <v>Domestic water demand per person [L/person/day]</v>
      </c>
      <c r="C10" s="103"/>
      <c r="D10" s="103"/>
      <c r="E10" s="107">
        <f>'2. Control Panel - Lüderitz'!J11</f>
        <v>130</v>
      </c>
      <c r="F10" s="107"/>
    </row>
    <row r="11" spans="2:21" ht="36" customHeight="1" x14ac:dyDescent="0.2">
      <c r="B11" s="103" t="str">
        <f>'2. Control Panel - Lüderitz'!I12</f>
        <v>Domestic water demand per person [m3/person/year]</v>
      </c>
      <c r="C11" s="103"/>
      <c r="D11" s="103"/>
      <c r="E11" s="103">
        <f>'2. Control Panel - Lüderitz'!J12</f>
        <v>47.45</v>
      </c>
      <c r="F11" s="103"/>
    </row>
    <row r="12" spans="2:21" ht="25.35" customHeight="1" x14ac:dyDescent="0.2">
      <c r="B12" s="103" t="str">
        <f>'2. Control Panel - Lüderitz'!I14</f>
        <v>2024 industrial water demand [m3/year]</v>
      </c>
      <c r="C12" s="103"/>
      <c r="D12" s="103"/>
      <c r="E12" s="102">
        <f>'2. Control Panel - Lüderitz'!J14</f>
        <v>379600</v>
      </c>
      <c r="F12" s="102"/>
    </row>
    <row r="13" spans="2:21" ht="37.5" customHeight="1" x14ac:dyDescent="0.2">
      <c r="B13" s="103" t="str">
        <f>'2. Control Panel - Lüderitz'!I16</f>
        <v>Historic domestic water demand growth rate (comparison)</v>
      </c>
      <c r="C13" s="103"/>
      <c r="D13" s="103"/>
      <c r="E13" s="100">
        <f>'2. Control Panel - Lüderitz'!J16</f>
        <v>4.0000000000000001E-3</v>
      </c>
      <c r="F13" s="100"/>
    </row>
    <row r="14" spans="2:21" ht="25.35" customHeight="1" x14ac:dyDescent="0.2"/>
    <row r="15" spans="2:21" ht="25.35" customHeight="1" x14ac:dyDescent="0.2"/>
    <row r="16" spans="2:21" ht="25.35" customHeight="1" x14ac:dyDescent="0.2">
      <c r="B16" s="106" t="s">
        <v>112</v>
      </c>
      <c r="C16" s="106"/>
      <c r="D16" s="106"/>
      <c r="E16" s="106"/>
      <c r="F16" s="106"/>
    </row>
    <row r="17" spans="2:22" ht="25.35" customHeight="1" x14ac:dyDescent="0.2">
      <c r="B17" s="106"/>
      <c r="C17" s="106"/>
      <c r="D17" s="106"/>
      <c r="E17" s="106"/>
      <c r="F17" s="106"/>
    </row>
    <row r="18" spans="2:22" ht="62.25" customHeight="1" x14ac:dyDescent="0.2">
      <c r="B18" s="103" t="s">
        <v>113</v>
      </c>
      <c r="C18" s="103"/>
      <c r="D18" s="103"/>
      <c r="E18" s="107" t="s">
        <v>114</v>
      </c>
      <c r="F18" s="107"/>
    </row>
    <row r="19" spans="2:22" ht="25.35" customHeight="1" x14ac:dyDescent="0.2"/>
    <row r="20" spans="2:22" ht="25.35" customHeight="1" x14ac:dyDescent="0.2"/>
    <row r="21" spans="2:22" ht="25.35" customHeight="1" x14ac:dyDescent="0.2"/>
    <row r="22" spans="2:22" ht="25.35" customHeight="1" x14ac:dyDescent="0.2"/>
    <row r="23" spans="2:22" ht="25.35" customHeight="1" x14ac:dyDescent="0.2"/>
    <row r="24" spans="2:22" ht="25.35" customHeight="1" x14ac:dyDescent="0.2"/>
    <row r="25" spans="2:22" ht="25.35" customHeight="1" x14ac:dyDescent="0.2"/>
    <row r="26" spans="2:22" ht="25.35" customHeight="1" x14ac:dyDescent="0.2"/>
    <row r="27" spans="2:22" s="39" customFormat="1" ht="23.45" customHeight="1" x14ac:dyDescent="0.2">
      <c r="B27" s="105" t="s">
        <v>115</v>
      </c>
      <c r="C27" s="105"/>
      <c r="D27" s="105"/>
      <c r="E27" s="105"/>
      <c r="F27" s="105"/>
      <c r="G27" s="105"/>
      <c r="H27" s="105"/>
      <c r="I27" s="105"/>
      <c r="J27" s="105"/>
      <c r="K27" s="105"/>
      <c r="L27" s="105"/>
      <c r="M27" s="105"/>
      <c r="N27" s="105"/>
      <c r="O27" s="105"/>
      <c r="P27" s="105"/>
      <c r="Q27" s="105"/>
      <c r="R27" s="105"/>
      <c r="S27" s="105"/>
      <c r="T27" s="105"/>
      <c r="U27" s="105"/>
      <c r="V27" s="105"/>
    </row>
    <row r="28" spans="2:22" s="39" customFormat="1" ht="23.45" customHeight="1" x14ac:dyDescent="0.2"/>
    <row r="29" spans="2:22" s="39" customFormat="1" ht="19.5" customHeight="1" x14ac:dyDescent="0.2">
      <c r="B29" s="123" t="s">
        <v>116</v>
      </c>
      <c r="C29" s="123"/>
      <c r="D29" s="123"/>
      <c r="E29" s="123"/>
      <c r="F29" s="123"/>
      <c r="G29" s="123"/>
      <c r="H29" s="123"/>
      <c r="I29" s="123"/>
      <c r="J29" s="123"/>
      <c r="K29" s="123"/>
      <c r="L29" s="123"/>
      <c r="N29" s="122" t="s">
        <v>323</v>
      </c>
      <c r="O29" s="123"/>
      <c r="P29" s="123"/>
      <c r="Q29" s="123"/>
      <c r="R29" s="123"/>
      <c r="S29" s="123"/>
      <c r="T29" s="123"/>
      <c r="U29" s="123"/>
      <c r="V29" s="123"/>
    </row>
    <row r="30" spans="2:22" ht="28.5" customHeight="1" x14ac:dyDescent="0.2">
      <c r="B30" s="123"/>
      <c r="C30" s="123"/>
      <c r="D30" s="123"/>
      <c r="E30" s="123"/>
      <c r="F30" s="123"/>
      <c r="G30" s="123"/>
      <c r="H30" s="123"/>
      <c r="I30" s="123"/>
      <c r="J30" s="123"/>
      <c r="K30" s="123"/>
      <c r="L30" s="123"/>
      <c r="N30" s="123"/>
      <c r="O30" s="123"/>
      <c r="P30" s="123"/>
      <c r="Q30" s="123"/>
      <c r="R30" s="123"/>
      <c r="S30" s="123"/>
      <c r="T30" s="123"/>
      <c r="U30" s="123"/>
      <c r="V30" s="123"/>
    </row>
    <row r="31" spans="2:22" ht="38.25" x14ac:dyDescent="0.2">
      <c r="B31" s="56" t="s">
        <v>34</v>
      </c>
      <c r="C31" s="60" t="s">
        <v>117</v>
      </c>
      <c r="D31" s="60" t="s">
        <v>118</v>
      </c>
      <c r="E31" s="57" t="s">
        <v>77</v>
      </c>
      <c r="F31" s="57" t="s">
        <v>78</v>
      </c>
      <c r="G31" s="57" t="s">
        <v>83</v>
      </c>
      <c r="H31" s="57" t="s">
        <v>84</v>
      </c>
      <c r="I31" s="57" t="s">
        <v>85</v>
      </c>
      <c r="J31" s="57" t="s">
        <v>86</v>
      </c>
      <c r="K31" s="57" t="s">
        <v>87</v>
      </c>
      <c r="L31" s="57" t="s">
        <v>88</v>
      </c>
      <c r="N31" s="56" t="s">
        <v>34</v>
      </c>
      <c r="O31" s="57" t="s">
        <v>77</v>
      </c>
      <c r="P31" s="57" t="s">
        <v>78</v>
      </c>
      <c r="Q31" s="57" t="s">
        <v>83</v>
      </c>
      <c r="R31" s="57" t="s">
        <v>84</v>
      </c>
      <c r="S31" s="57" t="s">
        <v>85</v>
      </c>
      <c r="T31" s="57" t="s">
        <v>86</v>
      </c>
      <c r="U31" s="57" t="s">
        <v>87</v>
      </c>
      <c r="V31" s="57" t="s">
        <v>88</v>
      </c>
    </row>
    <row r="32" spans="2:22" x14ac:dyDescent="0.2">
      <c r="B32" s="42">
        <f>ScenarioStart</f>
        <v>2025</v>
      </c>
      <c r="C32" s="45">
        <f>DomesticDemandperCapita*'4. Lüderitz Population Calc'!C31</f>
        <v>806650</v>
      </c>
      <c r="D32" s="45">
        <f>'2. Control Panel - Lüderitz'!$J$13+('2. Control Panel - Lüderitz'!J16*'2. Control Panel - Lüderitz'!$J$13)</f>
        <v>769566</v>
      </c>
      <c r="E32" s="45">
        <f>DomesticDemandperCapita*'4. Lüderitz Population Calc'!AL31</f>
        <v>806650</v>
      </c>
      <c r="F32" s="45">
        <f>DomesticDemandperCapita*'4. Lüderitz Population Calc'!AM31</f>
        <v>806650</v>
      </c>
      <c r="G32" s="45">
        <f>DomesticDemandperCapita*'4. Lüderitz Population Calc'!AN31</f>
        <v>806650</v>
      </c>
      <c r="H32" s="45">
        <f>DomesticDemandperCapita*'4. Lüderitz Population Calc'!AO31</f>
        <v>806650</v>
      </c>
      <c r="I32" s="45">
        <f>DomesticDemandperCapita*'4. Lüderitz Population Calc'!AP31</f>
        <v>806650</v>
      </c>
      <c r="J32" s="45">
        <f>DomesticDemandperCapita*'4. Lüderitz Population Calc'!AQ31</f>
        <v>806650</v>
      </c>
      <c r="K32" s="45">
        <f>DomesticDemandperCapita*'4. Lüderitz Population Calc'!AR31</f>
        <v>806650</v>
      </c>
      <c r="L32" s="45">
        <f>DomesticDemandperCapita*'4. Lüderitz Population Calc'!AS31</f>
        <v>806650</v>
      </c>
      <c r="N32" s="42">
        <f>ScenarioStart</f>
        <v>2025</v>
      </c>
      <c r="O32" s="45">
        <f>DomesticDemandperCapita*'4. Lüderitz Population Calc'!AU31</f>
        <v>806650</v>
      </c>
      <c r="P32" s="45">
        <f>DomesticDemandperCapita*'4. Lüderitz Population Calc'!AV31</f>
        <v>806650</v>
      </c>
      <c r="Q32" s="45">
        <f>DomesticDemandperCapita*'4. Lüderitz Population Calc'!AW31</f>
        <v>806650</v>
      </c>
      <c r="R32" s="45">
        <f>DomesticDemandperCapita*'4. Lüderitz Population Calc'!AX31</f>
        <v>806650</v>
      </c>
      <c r="S32" s="45">
        <f>DomesticDemandperCapita*'4. Lüderitz Population Calc'!AY31</f>
        <v>806650</v>
      </c>
      <c r="T32" s="45">
        <f>DomesticDemandperCapita*'4. Lüderitz Population Calc'!AZ31</f>
        <v>806650</v>
      </c>
      <c r="U32" s="45">
        <f>DomesticDemandperCapita*'4. Lüderitz Population Calc'!BA31</f>
        <v>806650</v>
      </c>
      <c r="V32" s="45">
        <f>DomesticDemandperCapita*'4. Lüderitz Population Calc'!BB31</f>
        <v>806650</v>
      </c>
    </row>
    <row r="33" spans="2:22" x14ac:dyDescent="0.2">
      <c r="B33" s="44">
        <f>B32+1</f>
        <v>2026</v>
      </c>
      <c r="C33" s="45">
        <f>DomesticDemandperCapita*'4. Lüderitz Population Calc'!C32</f>
        <v>823589.65</v>
      </c>
      <c r="D33" s="45">
        <f>D32+(D32*'2. Control Panel - Lüderitz'!$J$16)</f>
        <v>772644.26399999997</v>
      </c>
      <c r="E33" s="45">
        <f>DomesticDemandperCapita*'4. Lüderitz Population Calc'!AL32</f>
        <v>1009669.57</v>
      </c>
      <c r="F33" s="45">
        <f>DomesticDemandperCapita*'4. Lüderitz Population Calc'!AM32</f>
        <v>1009669.57</v>
      </c>
      <c r="G33" s="45">
        <f>DomesticDemandperCapita*'4. Lüderitz Population Calc'!AN32</f>
        <v>1009669.57</v>
      </c>
      <c r="H33" s="45">
        <f>DomesticDemandperCapita*'4. Lüderitz Population Calc'!AO32</f>
        <v>1009669.57</v>
      </c>
      <c r="I33" s="45">
        <f>DomesticDemandperCapita*'4. Lüderitz Population Calc'!AP32</f>
        <v>1009669.57</v>
      </c>
      <c r="J33" s="45">
        <f>DomesticDemandperCapita*'4. Lüderitz Population Calc'!AQ32</f>
        <v>1009669.57</v>
      </c>
      <c r="K33" s="45">
        <f>DomesticDemandperCapita*'4. Lüderitz Population Calc'!AR32</f>
        <v>1009669.57</v>
      </c>
      <c r="L33" s="45">
        <f>DomesticDemandperCapita*'4. Lüderitz Population Calc'!AS32</f>
        <v>1009669.57</v>
      </c>
      <c r="N33" s="44">
        <f>N32+1</f>
        <v>2026</v>
      </c>
      <c r="O33" s="45">
        <f>DomesticDemandperCapita*'4. Lüderitz Population Calc'!AU32</f>
        <v>1009669.57</v>
      </c>
      <c r="P33" s="45">
        <f>DomesticDemandperCapita*'4. Lüderitz Population Calc'!AV32</f>
        <v>1009669.57</v>
      </c>
      <c r="Q33" s="45">
        <f>DomesticDemandperCapita*'4. Lüderitz Population Calc'!AW32</f>
        <v>1009669.57</v>
      </c>
      <c r="R33" s="45">
        <f>DomesticDemandperCapita*'4. Lüderitz Population Calc'!AX32</f>
        <v>1009669.57</v>
      </c>
      <c r="S33" s="45">
        <f>DomesticDemandperCapita*'4. Lüderitz Population Calc'!AY32</f>
        <v>1009669.57</v>
      </c>
      <c r="T33" s="45">
        <f>DomesticDemandperCapita*'4. Lüderitz Population Calc'!AZ32</f>
        <v>1009669.57</v>
      </c>
      <c r="U33" s="45">
        <f>DomesticDemandperCapita*'4. Lüderitz Population Calc'!BA32</f>
        <v>1009669.57</v>
      </c>
      <c r="V33" s="45">
        <f>DomesticDemandperCapita*'4. Lüderitz Population Calc'!BB32</f>
        <v>1009669.57</v>
      </c>
    </row>
    <row r="34" spans="2:22" x14ac:dyDescent="0.2">
      <c r="B34" s="44">
        <f t="shared" ref="B34:B55" si="0">B33+1</f>
        <v>2027</v>
      </c>
      <c r="C34" s="45">
        <f>DomesticDemandperCapita*'4. Lüderitz Population Calc'!C33</f>
        <v>840885.03265000007</v>
      </c>
      <c r="D34" s="45">
        <f>D33+(D33*'2. Control Panel - Lüderitz'!$J$16)</f>
        <v>775734.84105599998</v>
      </c>
      <c r="E34" s="45">
        <f>DomesticDemandperCapita*'4. Lüderitz Population Calc'!AL33</f>
        <v>1064410.29097</v>
      </c>
      <c r="F34" s="45">
        <f>DomesticDemandperCapita*'4. Lüderitz Population Calc'!AM33</f>
        <v>1064410.29097</v>
      </c>
      <c r="G34" s="45">
        <f>DomesticDemandperCapita*'4. Lüderitz Population Calc'!AN33</f>
        <v>1776160.29097</v>
      </c>
      <c r="H34" s="45">
        <f>DomesticDemandperCapita*'4. Lüderitz Population Calc'!AO33</f>
        <v>2687200.29097</v>
      </c>
      <c r="I34" s="45">
        <f>DomesticDemandperCapita*'4. Lüderitz Population Calc'!AP33</f>
        <v>1776160.29097</v>
      </c>
      <c r="J34" s="45">
        <f>DomesticDemandperCapita*'4. Lüderitz Population Calc'!AQ33</f>
        <v>2687200.29097</v>
      </c>
      <c r="K34" s="45">
        <f>DomesticDemandperCapita*'4. Lüderitz Population Calc'!AR33</f>
        <v>2687200.29097</v>
      </c>
      <c r="L34" s="45">
        <f>DomesticDemandperCapita*'4. Lüderitz Population Calc'!AS33</f>
        <v>2687200.29097</v>
      </c>
      <c r="N34" s="44">
        <f t="shared" ref="N34:N55" si="1">N33+1</f>
        <v>2027</v>
      </c>
      <c r="O34" s="45">
        <f>DomesticDemandperCapita*'4. Lüderitz Population Calc'!AU33</f>
        <v>1064410.29097</v>
      </c>
      <c r="P34" s="45">
        <f>DomesticDemandperCapita*'4. Lüderitz Population Calc'!AV33</f>
        <v>1064410.29097</v>
      </c>
      <c r="Q34" s="45">
        <f>DomesticDemandperCapita*'4. Lüderitz Population Calc'!AW33</f>
        <v>1064410.29097</v>
      </c>
      <c r="R34" s="45">
        <f>DomesticDemandperCapita*'4. Lüderitz Population Calc'!AX33</f>
        <v>2260150.29097</v>
      </c>
      <c r="S34" s="45">
        <f>DomesticDemandperCapita*'4. Lüderitz Population Calc'!AY33</f>
        <v>1064410.29097</v>
      </c>
      <c r="T34" s="45">
        <f>DomesticDemandperCapita*'4. Lüderitz Population Calc'!AZ33</f>
        <v>2260150.29097</v>
      </c>
      <c r="U34" s="45">
        <f>DomesticDemandperCapita*'4. Lüderitz Population Calc'!BA33</f>
        <v>2260150.29097</v>
      </c>
      <c r="V34" s="45">
        <f>DomesticDemandperCapita*'4. Lüderitz Population Calc'!BB33</f>
        <v>2260150.29097</v>
      </c>
    </row>
    <row r="35" spans="2:22" x14ac:dyDescent="0.2">
      <c r="B35" s="44">
        <f t="shared" si="0"/>
        <v>2028</v>
      </c>
      <c r="C35" s="45">
        <f>DomesticDemandperCapita*'4. Lüderitz Population Calc'!C34</f>
        <v>858543.61833565007</v>
      </c>
      <c r="D35" s="45">
        <f>D34+(D34*'2. Control Panel - Lüderitz'!$J$16)</f>
        <v>778837.78042022395</v>
      </c>
      <c r="E35" s="45">
        <f>DomesticDemandperCapita*'4. Lüderitz Population Calc'!AL34</f>
        <v>1108400.10708037</v>
      </c>
      <c r="F35" s="45">
        <f>DomesticDemandperCapita*'4. Lüderitz Population Calc'!AM34</f>
        <v>1108400.10708037</v>
      </c>
      <c r="G35" s="45">
        <f>DomesticDemandperCapita*'4. Lüderitz Population Calc'!AN34</f>
        <v>1835096.8570803702</v>
      </c>
      <c r="H35" s="45">
        <f>DomesticDemandperCapita*'4. Lüderitz Population Calc'!AO34</f>
        <v>2765268.69708037</v>
      </c>
      <c r="I35" s="45">
        <f>DomesticDemandperCapita*'4. Lüderitz Population Calc'!AP34</f>
        <v>1835096.8570803702</v>
      </c>
      <c r="J35" s="45">
        <f>DomesticDemandperCapita*'4. Lüderitz Population Calc'!AQ34</f>
        <v>2765268.69708037</v>
      </c>
      <c r="K35" s="45">
        <f>DomesticDemandperCapita*'4. Lüderitz Population Calc'!AR34</f>
        <v>2765268.69708037</v>
      </c>
      <c r="L35" s="45">
        <f>DomesticDemandperCapita*'4. Lüderitz Population Calc'!AS34</f>
        <v>2765268.69708037</v>
      </c>
      <c r="N35" s="44">
        <f t="shared" si="1"/>
        <v>2028</v>
      </c>
      <c r="O35" s="45">
        <f>DomesticDemandperCapita*'4. Lüderitz Population Calc'!AU34</f>
        <v>1108400.10708037</v>
      </c>
      <c r="P35" s="45">
        <f>DomesticDemandperCapita*'4. Lüderitz Population Calc'!AV34</f>
        <v>1108400.10708037</v>
      </c>
      <c r="Q35" s="45">
        <f>DomesticDemandperCapita*'4. Lüderitz Population Calc'!AW34</f>
        <v>1108400.10708037</v>
      </c>
      <c r="R35" s="45">
        <f>DomesticDemandperCapita*'4. Lüderitz Population Calc'!AX34</f>
        <v>2329250.6470803702</v>
      </c>
      <c r="S35" s="45">
        <f>DomesticDemandperCapita*'4. Lüderitz Population Calc'!AY34</f>
        <v>1108400.10708037</v>
      </c>
      <c r="T35" s="45">
        <f>DomesticDemandperCapita*'4. Lüderitz Population Calc'!AZ34</f>
        <v>2329250.6470803702</v>
      </c>
      <c r="U35" s="45">
        <f>DomesticDemandperCapita*'4. Lüderitz Population Calc'!BA34</f>
        <v>2329250.6470803702</v>
      </c>
      <c r="V35" s="45">
        <f>DomesticDemandperCapita*'4. Lüderitz Population Calc'!BB34</f>
        <v>2329250.6470803702</v>
      </c>
    </row>
    <row r="36" spans="2:22" x14ac:dyDescent="0.2">
      <c r="B36" s="44">
        <f t="shared" si="0"/>
        <v>2029</v>
      </c>
      <c r="C36" s="45">
        <f>DomesticDemandperCapita*'4. Lüderitz Population Calc'!C35</f>
        <v>876573.0343206987</v>
      </c>
      <c r="D36" s="45">
        <f>D35+(D35*'2. Control Panel - Lüderitz'!$J$16)</f>
        <v>781953.13154190488</v>
      </c>
      <c r="E36" s="45">
        <f>DomesticDemandperCapita*'4. Lüderitz Population Calc'!AL35</f>
        <v>1131676.5093290578</v>
      </c>
      <c r="F36" s="45">
        <f>DomesticDemandperCapita*'4. Lüderitz Population Calc'!AM35</f>
        <v>1131676.5093290578</v>
      </c>
      <c r="G36" s="45">
        <f>DomesticDemandperCapita*'4. Lüderitz Population Calc'!AN35</f>
        <v>1873633.8910790582</v>
      </c>
      <c r="H36" s="45">
        <f>DomesticDemandperCapita*'4. Lüderitz Population Calc'!AO35</f>
        <v>2823339.339719058</v>
      </c>
      <c r="I36" s="45">
        <f>DomesticDemandperCapita*'4. Lüderitz Population Calc'!AP35</f>
        <v>1873633.8910790582</v>
      </c>
      <c r="J36" s="45">
        <f>DomesticDemandperCapita*'4. Lüderitz Population Calc'!AQ35</f>
        <v>2823339.339719058</v>
      </c>
      <c r="K36" s="45">
        <f>DomesticDemandperCapita*'4. Lüderitz Population Calc'!AR35</f>
        <v>2823339.339719058</v>
      </c>
      <c r="L36" s="45">
        <f>DomesticDemandperCapita*'4. Lüderitz Population Calc'!AS35</f>
        <v>2823339.339719058</v>
      </c>
      <c r="N36" s="44">
        <f t="shared" si="1"/>
        <v>2029</v>
      </c>
      <c r="O36" s="45">
        <f>DomesticDemandperCapita*'4. Lüderitz Population Calc'!AU35</f>
        <v>1131676.5093290578</v>
      </c>
      <c r="P36" s="45">
        <f>DomesticDemandperCapita*'4. Lüderitz Population Calc'!AV35</f>
        <v>1131676.5093290578</v>
      </c>
      <c r="Q36" s="45">
        <f>DomesticDemandperCapita*'4. Lüderitz Population Calc'!AW35</f>
        <v>1131676.5093290578</v>
      </c>
      <c r="R36" s="45">
        <f>DomesticDemandperCapita*'4. Lüderitz Population Calc'!AX35</f>
        <v>2378164.9106690581</v>
      </c>
      <c r="S36" s="45">
        <f>DomesticDemandperCapita*'4. Lüderitz Population Calc'!AY35</f>
        <v>1131676.5093290578</v>
      </c>
      <c r="T36" s="45">
        <f>DomesticDemandperCapita*'4. Lüderitz Population Calc'!AZ35</f>
        <v>2378164.9106690581</v>
      </c>
      <c r="U36" s="45">
        <f>DomesticDemandperCapita*'4. Lüderitz Population Calc'!BA35</f>
        <v>2378164.9106690581</v>
      </c>
      <c r="V36" s="45">
        <f>DomesticDemandperCapita*'4. Lüderitz Population Calc'!BB35</f>
        <v>2378164.9106690581</v>
      </c>
    </row>
    <row r="37" spans="2:22" x14ac:dyDescent="0.2">
      <c r="B37" s="44">
        <f t="shared" si="0"/>
        <v>2030</v>
      </c>
      <c r="C37" s="45">
        <f>DomesticDemandperCapita*'4. Lüderitz Population Calc'!C36</f>
        <v>894981.06804143335</v>
      </c>
      <c r="D37" s="45">
        <f>D36+(D36*'2. Control Panel - Lüderitz'!$J$16)</f>
        <v>785080.94406807248</v>
      </c>
      <c r="E37" s="45">
        <f>DomesticDemandperCapita*'4. Lüderitz Population Calc'!AL36</f>
        <v>1160851.0160249679</v>
      </c>
      <c r="F37" s="45">
        <f>DomesticDemandperCapita*'4. Lüderitz Population Calc'!AM36</f>
        <v>1918153.0160249679</v>
      </c>
      <c r="G37" s="45">
        <f>DomesticDemandperCapita*'4. Lüderitz Population Calc'!AN36</f>
        <v>1918389.5027917183</v>
      </c>
      <c r="H37" s="45">
        <f>DomesticDemandperCapita*'4. Lüderitz Population Calc'!AO36</f>
        <v>2888038.7658531582</v>
      </c>
      <c r="I37" s="45">
        <f>DomesticDemandperCapita*'4. Lüderitz Population Calc'!AP36</f>
        <v>2675691.5027917186</v>
      </c>
      <c r="J37" s="45">
        <f>DomesticDemandperCapita*'4. Lüderitz Population Calc'!AQ36</f>
        <v>3645340.7658531577</v>
      </c>
      <c r="K37" s="45">
        <f>DomesticDemandperCapita*'4. Lüderitz Population Calc'!AR36</f>
        <v>3645340.7658531577</v>
      </c>
      <c r="L37" s="45">
        <f>DomesticDemandperCapita*'4. Lüderitz Population Calc'!AS36</f>
        <v>3645340.7658531577</v>
      </c>
      <c r="N37" s="44">
        <f t="shared" si="1"/>
        <v>2030</v>
      </c>
      <c r="O37" s="45">
        <f>DomesticDemandperCapita*'4. Lüderitz Population Calc'!AU36</f>
        <v>1160851.0160249679</v>
      </c>
      <c r="P37" s="45">
        <f>DomesticDemandperCapita*'4. Lüderitz Population Calc'!AV36</f>
        <v>1918153.0160249679</v>
      </c>
      <c r="Q37" s="45">
        <f>DomesticDemandperCapita*'4. Lüderitz Population Calc'!AW36</f>
        <v>1160851.0160249679</v>
      </c>
      <c r="R37" s="45">
        <f>DomesticDemandperCapita*'4. Lüderitz Population Calc'!AX36</f>
        <v>2433515.6737931082</v>
      </c>
      <c r="S37" s="45">
        <f>DomesticDemandperCapita*'4. Lüderitz Population Calc'!AY36</f>
        <v>1918153.0160249679</v>
      </c>
      <c r="T37" s="45">
        <f>DomesticDemandperCapita*'4. Lüderitz Population Calc'!AZ36</f>
        <v>3190817.6737931077</v>
      </c>
      <c r="U37" s="45">
        <f>DomesticDemandperCapita*'4. Lüderitz Population Calc'!BA36</f>
        <v>3190817.6737931077</v>
      </c>
      <c r="V37" s="45">
        <f>DomesticDemandperCapita*'4. Lüderitz Population Calc'!BB36</f>
        <v>3190817.6737931077</v>
      </c>
    </row>
    <row r="38" spans="2:22" x14ac:dyDescent="0.2">
      <c r="B38" s="44">
        <f t="shared" si="0"/>
        <v>2031</v>
      </c>
      <c r="C38" s="45">
        <f>DomesticDemandperCapita*'4. Lüderitz Population Calc'!C37</f>
        <v>913775.67047030351</v>
      </c>
      <c r="D38" s="45">
        <f>D37+(D37*'2. Control Panel - Lüderitz'!$J$16)</f>
        <v>788221.26784434472</v>
      </c>
      <c r="E38" s="45">
        <f>DomesticDemandperCapita*'4. Lüderitz Population Calc'!AL37</f>
        <v>1371308.8073614922</v>
      </c>
      <c r="F38" s="45">
        <f>DomesticDemandperCapita*'4. Lüderitz Population Calc'!AM37</f>
        <v>2144514.1493614921</v>
      </c>
      <c r="G38" s="45">
        <f>DomesticDemandperCapita*'4. Lüderitz Population Calc'!AN37</f>
        <v>2144755.6023503444</v>
      </c>
      <c r="H38" s="45">
        <f>DomesticDemandperCapita*'4. Lüderitz Population Calc'!AO37</f>
        <v>3134767.4999360745</v>
      </c>
      <c r="I38" s="45">
        <f>DomesticDemandperCapita*'4. Lüderitz Population Calc'!AP37</f>
        <v>2917960.9443503446</v>
      </c>
      <c r="J38" s="45">
        <f>DomesticDemandperCapita*'4. Lüderitz Population Calc'!AQ37</f>
        <v>3907972.8419360747</v>
      </c>
      <c r="K38" s="45">
        <f>DomesticDemandperCapita*'4. Lüderitz Population Calc'!AR37</f>
        <v>3907972.8419360747</v>
      </c>
      <c r="L38" s="45">
        <f>DomesticDemandperCapita*'4. Lüderitz Population Calc'!AS37</f>
        <v>3907972.8419360747</v>
      </c>
      <c r="N38" s="44">
        <f t="shared" si="1"/>
        <v>2031</v>
      </c>
      <c r="O38" s="45">
        <f>DomesticDemandperCapita*'4. Lüderitz Population Calc'!AU37</f>
        <v>1371308.8073614922</v>
      </c>
      <c r="P38" s="45">
        <f>DomesticDemandperCapita*'4. Lüderitz Population Calc'!AV37</f>
        <v>2144514.1493614921</v>
      </c>
      <c r="Q38" s="45">
        <f>DomesticDemandperCapita*'4. Lüderitz Population Calc'!AW37</f>
        <v>1371308.8073614922</v>
      </c>
      <c r="R38" s="45">
        <f>DomesticDemandperCapita*'4. Lüderitz Population Calc'!AX37</f>
        <v>2670699.4229427632</v>
      </c>
      <c r="S38" s="45">
        <f>DomesticDemandperCapita*'4. Lüderitz Population Calc'!AY37</f>
        <v>2144514.1493614921</v>
      </c>
      <c r="T38" s="45">
        <f>DomesticDemandperCapita*'4. Lüderitz Population Calc'!AZ37</f>
        <v>3443904.7649427634</v>
      </c>
      <c r="U38" s="45">
        <f>DomesticDemandperCapita*'4. Lüderitz Population Calc'!BA37</f>
        <v>3443904.7649427634</v>
      </c>
      <c r="V38" s="45">
        <f>DomesticDemandperCapita*'4. Lüderitz Population Calc'!BB37</f>
        <v>3443904.7649427634</v>
      </c>
    </row>
    <row r="39" spans="2:22" x14ac:dyDescent="0.2">
      <c r="B39" s="44">
        <f t="shared" si="0"/>
        <v>2032</v>
      </c>
      <c r="C39" s="45">
        <f>DomesticDemandperCapita*'4. Lüderitz Population Calc'!C38</f>
        <v>932964.95955017977</v>
      </c>
      <c r="D39" s="45">
        <f>D38+(D38*'2. Control Panel - Lüderitz'!$J$16)</f>
        <v>791374.15291572211</v>
      </c>
      <c r="E39" s="45">
        <f>DomesticDemandperCapita*'4. Lüderitz Population Calc'!AL38</f>
        <v>1400106.2923160836</v>
      </c>
      <c r="F39" s="45">
        <f>DomesticDemandperCapita*'4. Lüderitz Population Calc'!AM38</f>
        <v>2189548.9464980834</v>
      </c>
      <c r="G39" s="45">
        <f>DomesticDemandperCapita*'4. Lüderitz Population Calc'!AN38</f>
        <v>2189795.4699997013</v>
      </c>
      <c r="H39" s="45">
        <f>DomesticDemandperCapita*'4. Lüderitz Population Calc'!AO38</f>
        <v>3200597.6174347317</v>
      </c>
      <c r="I39" s="45">
        <f>DomesticDemandperCapita*'4. Lüderitz Population Calc'!AP38</f>
        <v>2979238.1241817018</v>
      </c>
      <c r="J39" s="45">
        <f>DomesticDemandperCapita*'4. Lüderitz Population Calc'!AQ38</f>
        <v>3990040.2716167322</v>
      </c>
      <c r="K39" s="45">
        <f>DomesticDemandperCapita*'4. Lüderitz Population Calc'!AR38</f>
        <v>3990040.2716167322</v>
      </c>
      <c r="L39" s="45">
        <f>DomesticDemandperCapita*'4. Lüderitz Population Calc'!AS38</f>
        <v>3990040.2716167322</v>
      </c>
      <c r="N39" s="44">
        <f t="shared" si="1"/>
        <v>2032</v>
      </c>
      <c r="O39" s="45">
        <f>DomesticDemandperCapita*'4. Lüderitz Population Calc'!AU38</f>
        <v>1400106.2923160836</v>
      </c>
      <c r="P39" s="45">
        <f>DomesticDemandperCapita*'4. Lüderitz Population Calc'!AV38</f>
        <v>2189548.9464980834</v>
      </c>
      <c r="Q39" s="45">
        <f>DomesticDemandperCapita*'4. Lüderitz Population Calc'!AW38</f>
        <v>1400106.2923160836</v>
      </c>
      <c r="R39" s="45">
        <f>DomesticDemandperCapita*'4. Lüderitz Population Calc'!AX38</f>
        <v>2726784.1108245612</v>
      </c>
      <c r="S39" s="45">
        <f>DomesticDemandperCapita*'4. Lüderitz Population Calc'!AY38</f>
        <v>2189548.9464980834</v>
      </c>
      <c r="T39" s="45">
        <f>DomesticDemandperCapita*'4. Lüderitz Population Calc'!AZ38</f>
        <v>3516226.7650065618</v>
      </c>
      <c r="U39" s="45">
        <f>DomesticDemandperCapita*'4. Lüderitz Population Calc'!BA38</f>
        <v>3516226.7650065618</v>
      </c>
      <c r="V39" s="45">
        <f>DomesticDemandperCapita*'4. Lüderitz Population Calc'!BB38</f>
        <v>3516226.7650065618</v>
      </c>
    </row>
    <row r="40" spans="2:22" x14ac:dyDescent="0.2">
      <c r="B40" s="44">
        <f t="shared" si="0"/>
        <v>2033</v>
      </c>
      <c r="C40" s="45">
        <f>DomesticDemandperCapita*'4. Lüderitz Population Calc'!C39</f>
        <v>952557.22370073362</v>
      </c>
      <c r="D40" s="45">
        <f>D39+(D39*'2. Control Panel - Lüderitz'!$J$16)</f>
        <v>794539.64952738502</v>
      </c>
      <c r="E40" s="45">
        <f>DomesticDemandperCapita*'4. Lüderitz Population Calc'!AL39</f>
        <v>1429508.5244547212</v>
      </c>
      <c r="F40" s="45">
        <f>DomesticDemandperCapita*'4. Lüderitz Population Calc'!AM39</f>
        <v>2235529.4743745429</v>
      </c>
      <c r="G40" s="45">
        <f>DomesticDemandperCapita*'4. Lüderitz Population Calc'!AN39</f>
        <v>2235781.1748696952</v>
      </c>
      <c r="H40" s="45">
        <f>DomesticDemandperCapita*'4. Lüderitz Population Calc'!AO39</f>
        <v>3267810.1674008607</v>
      </c>
      <c r="I40" s="45">
        <f>DomesticDemandperCapita*'4. Lüderitz Population Calc'!AP39</f>
        <v>3041802.1247895178</v>
      </c>
      <c r="J40" s="45">
        <f>DomesticDemandperCapita*'4. Lüderitz Population Calc'!AQ39</f>
        <v>4073831.1173206833</v>
      </c>
      <c r="K40" s="45">
        <f>DomesticDemandperCapita*'4. Lüderitz Population Calc'!AR39</f>
        <v>4073831.1173206833</v>
      </c>
      <c r="L40" s="45">
        <f>DomesticDemandperCapita*'4. Lüderitz Population Calc'!AS39</f>
        <v>4073831.1173206833</v>
      </c>
      <c r="N40" s="44">
        <f t="shared" si="1"/>
        <v>2033</v>
      </c>
      <c r="O40" s="45">
        <f>DomesticDemandperCapita*'4. Lüderitz Population Calc'!AU39</f>
        <v>1429508.5244547212</v>
      </c>
      <c r="P40" s="45">
        <f>DomesticDemandperCapita*'4. Lüderitz Population Calc'!AV39</f>
        <v>2235529.4743745429</v>
      </c>
      <c r="Q40" s="45">
        <f>DomesticDemandperCapita*'4. Lüderitz Population Calc'!AW39</f>
        <v>1429508.5244547212</v>
      </c>
      <c r="R40" s="45">
        <f>DomesticDemandperCapita*'4. Lüderitz Population Calc'!AX39</f>
        <v>2784046.5771518773</v>
      </c>
      <c r="S40" s="45">
        <f>DomesticDemandperCapita*'4. Lüderitz Population Calc'!AY39</f>
        <v>2235529.4743745429</v>
      </c>
      <c r="T40" s="45">
        <f>DomesticDemandperCapita*'4. Lüderitz Population Calc'!AZ39</f>
        <v>3590067.5270717</v>
      </c>
      <c r="U40" s="45">
        <f>DomesticDemandperCapita*'4. Lüderitz Population Calc'!BA39</f>
        <v>3590067.5270717</v>
      </c>
      <c r="V40" s="45">
        <f>DomesticDemandperCapita*'4. Lüderitz Population Calc'!BB39</f>
        <v>3590067.5270717</v>
      </c>
    </row>
    <row r="41" spans="2:22" x14ac:dyDescent="0.2">
      <c r="B41" s="44">
        <f t="shared" si="0"/>
        <v>2034</v>
      </c>
      <c r="C41" s="45">
        <f>DomesticDemandperCapita*'4. Lüderitz Population Calc'!C40</f>
        <v>972560.92539844906</v>
      </c>
      <c r="D41" s="45">
        <f>D40+(D40*'2. Control Panel - Lüderitz'!$J$16)</f>
        <v>797717.80812549451</v>
      </c>
      <c r="E41" s="45">
        <f>DomesticDemandperCapita*'4. Lüderitz Population Calc'!AL40</f>
        <v>1645608.1234682705</v>
      </c>
      <c r="F41" s="45">
        <f>DomesticDemandperCapita*'4. Lüderitz Population Calc'!AM40</f>
        <v>2468555.5133364084</v>
      </c>
      <c r="G41" s="45">
        <f>DomesticDemandperCapita*'4. Lüderitz Population Calc'!AN40</f>
        <v>1899412.4995419586</v>
      </c>
      <c r="H41" s="45">
        <f>DomesticDemandperCapita*'4. Lüderitz Population Calc'!AO40</f>
        <v>3847072.1009162795</v>
      </c>
      <c r="I41" s="45">
        <f>DomesticDemandperCapita*'4. Lüderitz Population Calc'!AP40</f>
        <v>2722359.8894100976</v>
      </c>
      <c r="J41" s="45">
        <f>DomesticDemandperCapita*'4. Lüderitz Population Calc'!AQ40</f>
        <v>4670019.4907844178</v>
      </c>
      <c r="K41" s="45">
        <f>DomesticDemandperCapita*'4. Lüderitz Population Calc'!AR40</f>
        <v>4670019.4907844178</v>
      </c>
      <c r="L41" s="45">
        <f>DomesticDemandperCapita*'4. Lüderitz Population Calc'!AS40</f>
        <v>4670019.4907844178</v>
      </c>
      <c r="N41" s="44">
        <f t="shared" si="1"/>
        <v>2034</v>
      </c>
      <c r="O41" s="45">
        <f>DomesticDemandperCapita*'4. Lüderitz Population Calc'!AU40</f>
        <v>1645608.1234682705</v>
      </c>
      <c r="P41" s="45">
        <f>DomesticDemandperCapita*'4. Lüderitz Population Calc'!AV40</f>
        <v>2468555.5133364084</v>
      </c>
      <c r="Q41" s="45">
        <f>DomesticDemandperCapita*'4. Lüderitz Population Calc'!AW40</f>
        <v>1645608.1234682705</v>
      </c>
      <c r="R41" s="45">
        <f>DomesticDemandperCapita*'4. Lüderitz Population Calc'!AX40</f>
        <v>2071999.4752720667</v>
      </c>
      <c r="S41" s="45">
        <f>DomesticDemandperCapita*'4. Lüderitz Population Calc'!AY40</f>
        <v>2468555.5133364084</v>
      </c>
      <c r="T41" s="45">
        <f>DomesticDemandperCapita*'4. Lüderitz Population Calc'!AZ40</f>
        <v>4090686.8651402062</v>
      </c>
      <c r="U41" s="45">
        <f>DomesticDemandperCapita*'4. Lüderitz Population Calc'!BA40</f>
        <v>4090686.8651402062</v>
      </c>
      <c r="V41" s="45">
        <f>DomesticDemandperCapita*'4. Lüderitz Population Calc'!BB40</f>
        <v>4090686.8651402062</v>
      </c>
    </row>
    <row r="42" spans="2:22" x14ac:dyDescent="0.2">
      <c r="B42" s="44">
        <f t="shared" si="0"/>
        <v>2035</v>
      </c>
      <c r="C42" s="45">
        <f>DomesticDemandperCapita*'4. Lüderitz Population Calc'!C41</f>
        <v>992984.70483181661</v>
      </c>
      <c r="D42" s="45">
        <f>D41+(D41*'2. Control Panel - Lüderitz'!$J$16)</f>
        <v>800908.67935799644</v>
      </c>
      <c r="E42" s="45">
        <f>DomesticDemandperCapita*'4. Lüderitz Population Calc'!AL41</f>
        <v>1680165.8940611042</v>
      </c>
      <c r="F42" s="45">
        <f>DomesticDemandperCapita*'4. Lüderitz Population Calc'!AM41</f>
        <v>2520395.1791164731</v>
      </c>
      <c r="G42" s="45">
        <f>DomesticDemandperCapita*'4. Lüderitz Population Calc'!AN41</f>
        <v>1939300.1620323397</v>
      </c>
      <c r="H42" s="45">
        <f>DomesticDemandperCapita*'4. Lüderitz Population Calc'!AO41</f>
        <v>3927860.6150355213</v>
      </c>
      <c r="I42" s="45">
        <f>DomesticDemandperCapita*'4. Lüderitz Population Calc'!AP41</f>
        <v>2779529.4470877103</v>
      </c>
      <c r="J42" s="45">
        <f>DomesticDemandperCapita*'4. Lüderitz Population Calc'!AQ41</f>
        <v>4768089.9000908909</v>
      </c>
      <c r="K42" s="45">
        <f>DomesticDemandperCapita*'4. Lüderitz Population Calc'!AR41</f>
        <v>4768089.9000908909</v>
      </c>
      <c r="L42" s="45">
        <f>DomesticDemandperCapita*'4. Lüderitz Population Calc'!AS41</f>
        <v>4768089.9000908909</v>
      </c>
      <c r="N42" s="44">
        <f t="shared" si="1"/>
        <v>2035</v>
      </c>
      <c r="O42" s="45">
        <f>DomesticDemandperCapita*'4. Lüderitz Population Calc'!AU41</f>
        <v>1680165.8940611042</v>
      </c>
      <c r="P42" s="45">
        <f>DomesticDemandperCapita*'4. Lüderitz Population Calc'!AV41</f>
        <v>2520395.1791164731</v>
      </c>
      <c r="Q42" s="45">
        <f>DomesticDemandperCapita*'4. Lüderitz Population Calc'!AW41</f>
        <v>1680165.8940611042</v>
      </c>
      <c r="R42" s="45">
        <f>DomesticDemandperCapita*'4. Lüderitz Population Calc'!AX41</f>
        <v>2115511.4642527802</v>
      </c>
      <c r="S42" s="45">
        <f>DomesticDemandperCapita*'4. Lüderitz Population Calc'!AY41</f>
        <v>2520395.1791164731</v>
      </c>
      <c r="T42" s="45">
        <f>DomesticDemandperCapita*'4. Lüderitz Population Calc'!AZ41</f>
        <v>4176591.2893081503</v>
      </c>
      <c r="U42" s="45">
        <f>DomesticDemandperCapita*'4. Lüderitz Population Calc'!BA41</f>
        <v>4176591.2893081503</v>
      </c>
      <c r="V42" s="45">
        <f>DomesticDemandperCapita*'4. Lüderitz Population Calc'!BB41</f>
        <v>4176591.2893081503</v>
      </c>
    </row>
    <row r="43" spans="2:22" x14ac:dyDescent="0.2">
      <c r="B43" s="44">
        <f t="shared" si="0"/>
        <v>2036</v>
      </c>
      <c r="C43" s="45">
        <f>DomesticDemandperCapita*'4. Lüderitz Population Calc'!C42</f>
        <v>1013837.3836332847</v>
      </c>
      <c r="D43" s="45">
        <f>D42+(D42*'2. Control Panel - Lüderitz'!$J$16)</f>
        <v>804112.31407542841</v>
      </c>
      <c r="E43" s="45">
        <f>DomesticDemandperCapita*'4. Lüderitz Population Calc'!AL42</f>
        <v>1715449.3778363874</v>
      </c>
      <c r="F43" s="45">
        <f>DomesticDemandperCapita*'4. Lüderitz Population Calc'!AM42</f>
        <v>2573323.4778779191</v>
      </c>
      <c r="G43" s="45">
        <f>DomesticDemandperCapita*'4. Lüderitz Population Calc'!AN42</f>
        <v>1980025.465435019</v>
      </c>
      <c r="H43" s="45">
        <f>DomesticDemandperCapita*'4. Lüderitz Population Calc'!AO42</f>
        <v>4010345.6879512672</v>
      </c>
      <c r="I43" s="45">
        <f>DomesticDemandperCapita*'4. Lüderitz Population Calc'!AP42</f>
        <v>2837899.5654765521</v>
      </c>
      <c r="J43" s="45">
        <f>DomesticDemandperCapita*'4. Lüderitz Population Calc'!AQ42</f>
        <v>4868219.7879927997</v>
      </c>
      <c r="K43" s="45">
        <f>DomesticDemandperCapita*'4. Lüderitz Population Calc'!AR42</f>
        <v>4868219.7879927997</v>
      </c>
      <c r="L43" s="45">
        <f>DomesticDemandperCapita*'4. Lüderitz Population Calc'!AS42</f>
        <v>4868219.7879927997</v>
      </c>
      <c r="N43" s="44">
        <f t="shared" si="1"/>
        <v>2036</v>
      </c>
      <c r="O43" s="45">
        <f>DomesticDemandperCapita*'4. Lüderitz Population Calc'!AU42</f>
        <v>1715449.3778363874</v>
      </c>
      <c r="P43" s="45">
        <f>DomesticDemandperCapita*'4. Lüderitz Population Calc'!AV42</f>
        <v>2573323.4778779191</v>
      </c>
      <c r="Q43" s="45">
        <f>DomesticDemandperCapita*'4. Lüderitz Population Calc'!AW42</f>
        <v>1715449.3778363874</v>
      </c>
      <c r="R43" s="45">
        <f>DomesticDemandperCapita*'4. Lüderitz Population Calc'!AX42</f>
        <v>2159937.2050020886</v>
      </c>
      <c r="S43" s="45">
        <f>DomesticDemandperCapita*'4. Lüderitz Population Calc'!AY42</f>
        <v>2573323.4778779191</v>
      </c>
      <c r="T43" s="45">
        <f>DomesticDemandperCapita*'4. Lüderitz Population Calc'!AZ42</f>
        <v>4264299.7063836213</v>
      </c>
      <c r="U43" s="45">
        <f>DomesticDemandperCapita*'4. Lüderitz Population Calc'!BA42</f>
        <v>4264299.7063836213</v>
      </c>
      <c r="V43" s="45">
        <f>DomesticDemandperCapita*'4. Lüderitz Population Calc'!BB42</f>
        <v>4264299.7063836213</v>
      </c>
    </row>
    <row r="44" spans="2:22" x14ac:dyDescent="0.2">
      <c r="B44" s="44">
        <f t="shared" si="0"/>
        <v>2037</v>
      </c>
      <c r="C44" s="45">
        <f>DomesticDemandperCapita*'4. Lüderitz Population Calc'!C43</f>
        <v>1035127.9686895837</v>
      </c>
      <c r="D44" s="45">
        <f>D43+(D43*'2. Control Panel - Lüderitz'!$J$16)</f>
        <v>807328.76333173015</v>
      </c>
      <c r="E44" s="45">
        <f>DomesticDemandperCapita*'4. Lüderitz Population Calc'!AL43</f>
        <v>1751473.8147709516</v>
      </c>
      <c r="F44" s="45">
        <f>DomesticDemandperCapita*'4. Lüderitz Population Calc'!AM43</f>
        <v>2627363.2709133551</v>
      </c>
      <c r="G44" s="45">
        <f>DomesticDemandperCapita*'4. Lüderitz Population Calc'!AN43</f>
        <v>2021606.0002091546</v>
      </c>
      <c r="H44" s="45">
        <f>DomesticDemandperCapita*'4. Lüderitz Population Calc'!AO43</f>
        <v>4094562.9473982439</v>
      </c>
      <c r="I44" s="45">
        <f>DomesticDemandperCapita*'4. Lüderitz Population Calc'!AP43</f>
        <v>2897495.4563515596</v>
      </c>
      <c r="J44" s="45">
        <f>DomesticDemandperCapita*'4. Lüderitz Population Calc'!AQ43</f>
        <v>4970452.4035406485</v>
      </c>
      <c r="K44" s="45">
        <f>DomesticDemandperCapita*'4. Lüderitz Population Calc'!AR43</f>
        <v>4970452.4035406485</v>
      </c>
      <c r="L44" s="45">
        <f>DomesticDemandperCapita*'4. Lüderitz Population Calc'!AS43</f>
        <v>4970452.4035406485</v>
      </c>
      <c r="N44" s="44">
        <f t="shared" si="1"/>
        <v>2037</v>
      </c>
      <c r="O44" s="45">
        <f>DomesticDemandperCapita*'4. Lüderitz Population Calc'!AU43</f>
        <v>1751473.8147709516</v>
      </c>
      <c r="P44" s="45">
        <f>DomesticDemandperCapita*'4. Lüderitz Population Calc'!AV43</f>
        <v>2627363.2709133551</v>
      </c>
      <c r="Q44" s="45">
        <f>DomesticDemandperCapita*'4. Lüderitz Population Calc'!AW43</f>
        <v>1751473.8147709516</v>
      </c>
      <c r="R44" s="45">
        <f>DomesticDemandperCapita*'4. Lüderitz Population Calc'!AX43</f>
        <v>2205295.8863071324</v>
      </c>
      <c r="S44" s="45">
        <f>DomesticDemandperCapita*'4. Lüderitz Population Calc'!AY43</f>
        <v>2627363.2709133551</v>
      </c>
      <c r="T44" s="45">
        <f>DomesticDemandperCapita*'4. Lüderitz Population Calc'!AZ43</f>
        <v>4353850.000217678</v>
      </c>
      <c r="U44" s="45">
        <f>DomesticDemandperCapita*'4. Lüderitz Population Calc'!BA43</f>
        <v>4353850.000217678</v>
      </c>
      <c r="V44" s="45">
        <f>DomesticDemandperCapita*'4. Lüderitz Population Calc'!BB43</f>
        <v>4353850.000217678</v>
      </c>
    </row>
    <row r="45" spans="2:22" x14ac:dyDescent="0.2">
      <c r="B45" s="44">
        <f t="shared" si="0"/>
        <v>2038</v>
      </c>
      <c r="C45" s="45">
        <f>DomesticDemandperCapita*'4. Lüderitz Population Calc'!C44</f>
        <v>1056865.6560320649</v>
      </c>
      <c r="D45" s="45">
        <f>D44+(D44*'2. Control Panel - Lüderitz'!$J$16)</f>
        <v>810558.07838505704</v>
      </c>
      <c r="E45" s="45">
        <f>DomesticDemandperCapita*'4. Lüderitz Population Calc'!AL44</f>
        <v>1788254.7648811417</v>
      </c>
      <c r="F45" s="45">
        <f>DomesticDemandperCapita*'4. Lüderitz Population Calc'!AM44</f>
        <v>2682537.8996025356</v>
      </c>
      <c r="G45" s="45">
        <f>DomesticDemandperCapita*'4. Lüderitz Population Calc'!AN44</f>
        <v>2064059.7262135467</v>
      </c>
      <c r="H45" s="45">
        <f>DomesticDemandperCapita*'4. Lüderitz Population Calc'!AO44</f>
        <v>4180548.7692936067</v>
      </c>
      <c r="I45" s="45">
        <f>DomesticDemandperCapita*'4. Lüderitz Population Calc'!AP44</f>
        <v>2958342.8609349425</v>
      </c>
      <c r="J45" s="45">
        <f>DomesticDemandperCapita*'4. Lüderitz Population Calc'!AQ44</f>
        <v>5074831.9040150018</v>
      </c>
      <c r="K45" s="45">
        <f>DomesticDemandperCapita*'4. Lüderitz Population Calc'!AR44</f>
        <v>5074831.9040150018</v>
      </c>
      <c r="L45" s="45">
        <f>DomesticDemandperCapita*'4. Lüderitz Population Calc'!AS44</f>
        <v>5074831.9040150018</v>
      </c>
      <c r="N45" s="44">
        <f t="shared" si="1"/>
        <v>2038</v>
      </c>
      <c r="O45" s="45">
        <f>DomesticDemandperCapita*'4. Lüderitz Population Calc'!AU44</f>
        <v>1788254.7648811417</v>
      </c>
      <c r="P45" s="45">
        <f>DomesticDemandperCapita*'4. Lüderitz Population Calc'!AV44</f>
        <v>2682537.8996025356</v>
      </c>
      <c r="Q45" s="45">
        <f>DomesticDemandperCapita*'4. Lüderitz Population Calc'!AW44</f>
        <v>1788254.7648811417</v>
      </c>
      <c r="R45" s="45">
        <f>DomesticDemandperCapita*'4. Lüderitz Population Calc'!AX44</f>
        <v>2251607.0999195823</v>
      </c>
      <c r="S45" s="45">
        <f>DomesticDemandperCapita*'4. Lüderitz Population Calc'!AY44</f>
        <v>2682537.8996025356</v>
      </c>
      <c r="T45" s="45">
        <f>DomesticDemandperCapita*'4. Lüderitz Population Calc'!AZ44</f>
        <v>4445280.8502222486</v>
      </c>
      <c r="U45" s="45">
        <f>DomesticDemandperCapita*'4. Lüderitz Population Calc'!BA44</f>
        <v>4445280.8502222486</v>
      </c>
      <c r="V45" s="45">
        <f>DomesticDemandperCapita*'4. Lüderitz Population Calc'!BB44</f>
        <v>4445280.8502222486</v>
      </c>
    </row>
    <row r="46" spans="2:22" x14ac:dyDescent="0.2">
      <c r="B46" s="44">
        <f t="shared" si="0"/>
        <v>2039</v>
      </c>
      <c r="C46" s="45">
        <f>DomesticDemandperCapita*'4. Lüderitz Population Calc'!C45</f>
        <v>1079059.8348087382</v>
      </c>
      <c r="D46" s="45">
        <f>D45+(D45*'2. Control Panel - Lüderitz'!$J$16)</f>
        <v>813800.31069859723</v>
      </c>
      <c r="E46" s="45">
        <f>DomesticDemandperCapita*'4. Lüderitz Population Calc'!AL45</f>
        <v>1825808.1149436459</v>
      </c>
      <c r="F46" s="45">
        <f>DomesticDemandperCapita*'4. Lüderitz Population Calc'!AM45</f>
        <v>2738871.1954941889</v>
      </c>
      <c r="G46" s="45">
        <f>DomesticDemandperCapita*'4. Lüderitz Population Calc'!AN45</f>
        <v>2107404.9804640315</v>
      </c>
      <c r="H46" s="45">
        <f>DomesticDemandperCapita*'4. Lüderitz Population Calc'!AO45</f>
        <v>4268340.2934487723</v>
      </c>
      <c r="I46" s="45">
        <f>DomesticDemandperCapita*'4. Lüderitz Population Calc'!AP45</f>
        <v>3020468.0610145763</v>
      </c>
      <c r="J46" s="45">
        <f>DomesticDemandperCapita*'4. Lüderitz Population Calc'!AQ45</f>
        <v>5181403.3739993172</v>
      </c>
      <c r="K46" s="45">
        <f>DomesticDemandperCapita*'4. Lüderitz Population Calc'!AR45</f>
        <v>5181403.3739993172</v>
      </c>
      <c r="L46" s="45">
        <f>DomesticDemandperCapita*'4. Lüderitz Population Calc'!AS45</f>
        <v>5181403.3739993172</v>
      </c>
      <c r="N46" s="44">
        <f t="shared" si="1"/>
        <v>2039</v>
      </c>
      <c r="O46" s="45">
        <f>DomesticDemandperCapita*'4. Lüderitz Population Calc'!AU45</f>
        <v>1825808.1149436459</v>
      </c>
      <c r="P46" s="45">
        <f>DomesticDemandperCapita*'4. Lüderitz Population Calc'!AV45</f>
        <v>2738871.1954941889</v>
      </c>
      <c r="Q46" s="45">
        <f>DomesticDemandperCapita*'4. Lüderitz Population Calc'!AW45</f>
        <v>1825808.1149436459</v>
      </c>
      <c r="R46" s="45">
        <f>DomesticDemandperCapita*'4. Lüderitz Population Calc'!AX45</f>
        <v>2298890.8490178934</v>
      </c>
      <c r="S46" s="45">
        <f>DomesticDemandperCapita*'4. Lüderitz Population Calc'!AY45</f>
        <v>2738871.1954941889</v>
      </c>
      <c r="T46" s="45">
        <f>DomesticDemandperCapita*'4. Lüderitz Population Calc'!AZ45</f>
        <v>4538631.7480769167</v>
      </c>
      <c r="U46" s="45">
        <f>DomesticDemandperCapita*'4. Lüderitz Population Calc'!BA45</f>
        <v>4538631.7480769167</v>
      </c>
      <c r="V46" s="45">
        <f>DomesticDemandperCapita*'4. Lüderitz Population Calc'!BB45</f>
        <v>4538631.7480769167</v>
      </c>
    </row>
    <row r="47" spans="2:22" x14ac:dyDescent="0.2">
      <c r="B47" s="44">
        <f t="shared" si="0"/>
        <v>2040</v>
      </c>
      <c r="C47" s="45">
        <f>DomesticDemandperCapita*'4. Lüderitz Population Calc'!C46</f>
        <v>1101720.0913397218</v>
      </c>
      <c r="D47" s="45">
        <f>D46+(D46*'2. Control Panel - Lüderitz'!$J$16)</f>
        <v>817055.51194139163</v>
      </c>
      <c r="E47" s="45">
        <f>DomesticDemandperCapita*'4. Lüderitz Population Calc'!AL46</f>
        <v>1864150.0853574625</v>
      </c>
      <c r="F47" s="45">
        <f>DomesticDemandperCapita*'4. Lüderitz Population Calc'!AM46</f>
        <v>2796387.4905995671</v>
      </c>
      <c r="G47" s="45">
        <f>DomesticDemandperCapita*'4. Lüderitz Population Calc'!AN46</f>
        <v>2151660.4850537763</v>
      </c>
      <c r="H47" s="45">
        <f>DomesticDemandperCapita*'4. Lüderitz Population Calc'!AO46</f>
        <v>4357975.4396111965</v>
      </c>
      <c r="I47" s="45">
        <f>DomesticDemandperCapita*'4. Lüderitz Population Calc'!AP46</f>
        <v>3083897.8902958822</v>
      </c>
      <c r="J47" s="45">
        <f>DomesticDemandperCapita*'4. Lüderitz Population Calc'!AQ46</f>
        <v>5290212.8448533025</v>
      </c>
      <c r="K47" s="45">
        <f>DomesticDemandperCapita*'4. Lüderitz Population Calc'!AR46</f>
        <v>5290212.8448533025</v>
      </c>
      <c r="L47" s="45">
        <f>DomesticDemandperCapita*'4. Lüderitz Population Calc'!AS46</f>
        <v>5290212.8448533025</v>
      </c>
      <c r="N47" s="44">
        <f t="shared" si="1"/>
        <v>2040</v>
      </c>
      <c r="O47" s="45">
        <f>DomesticDemandperCapita*'4. Lüderitz Population Calc'!AU46</f>
        <v>1864150.0853574625</v>
      </c>
      <c r="P47" s="45">
        <f>DomesticDemandperCapita*'4. Lüderitz Population Calc'!AV46</f>
        <v>2796387.4905995671</v>
      </c>
      <c r="Q47" s="45">
        <f>DomesticDemandperCapita*'4. Lüderitz Population Calc'!AW46</f>
        <v>1864150.0853574625</v>
      </c>
      <c r="R47" s="45">
        <f>DomesticDemandperCapita*'4. Lüderitz Population Calc'!AX46</f>
        <v>2347167.5568472692</v>
      </c>
      <c r="S47" s="45">
        <f>DomesticDemandperCapita*'4. Lüderitz Population Calc'!AY46</f>
        <v>2796387.4905995671</v>
      </c>
      <c r="T47" s="45">
        <f>DomesticDemandperCapita*'4. Lüderitz Population Calc'!AZ46</f>
        <v>4633943.0147865312</v>
      </c>
      <c r="U47" s="45">
        <f>DomesticDemandperCapita*'4. Lüderitz Population Calc'!BA46</f>
        <v>4633943.0147865312</v>
      </c>
      <c r="V47" s="45">
        <f>DomesticDemandperCapita*'4. Lüderitz Population Calc'!BB46</f>
        <v>4633943.0147865312</v>
      </c>
    </row>
    <row r="48" spans="2:22" x14ac:dyDescent="0.2">
      <c r="B48" s="44">
        <f t="shared" si="0"/>
        <v>2041</v>
      </c>
      <c r="C48" s="45">
        <f>DomesticDemandperCapita*'4. Lüderitz Population Calc'!C47</f>
        <v>1124856.213257856</v>
      </c>
      <c r="D48" s="45">
        <f>D47+(D47*'2. Control Panel - Lüderitz'!$J$16)</f>
        <v>820323.73398915725</v>
      </c>
      <c r="E48" s="45">
        <f>DomesticDemandperCapita*'4. Lüderitz Population Calc'!AL47</f>
        <v>1903297.2371499692</v>
      </c>
      <c r="F48" s="45">
        <f>DomesticDemandperCapita*'4. Lüderitz Population Calc'!AM47</f>
        <v>2855111.6279021581</v>
      </c>
      <c r="G48" s="45">
        <f>DomesticDemandperCapita*'4. Lüderitz Population Calc'!AN47</f>
        <v>2196845.3552399054</v>
      </c>
      <c r="H48" s="45">
        <f>DomesticDemandperCapita*'4. Lüderitz Population Calc'!AO47</f>
        <v>4449492.9238430317</v>
      </c>
      <c r="I48" s="45">
        <f>DomesticDemandperCapita*'4. Lüderitz Population Calc'!AP47</f>
        <v>3148659.7459920961</v>
      </c>
      <c r="J48" s="45">
        <f>DomesticDemandperCapita*'4. Lüderitz Population Calc'!AQ47</f>
        <v>5401307.3145952225</v>
      </c>
      <c r="K48" s="45">
        <f>DomesticDemandperCapita*'4. Lüderitz Population Calc'!AR47</f>
        <v>5401307.3145952225</v>
      </c>
      <c r="L48" s="45">
        <f>DomesticDemandperCapita*'4. Lüderitz Population Calc'!AS47</f>
        <v>5401307.3145952225</v>
      </c>
      <c r="N48" s="44">
        <f t="shared" si="1"/>
        <v>2041</v>
      </c>
      <c r="O48" s="45">
        <f>DomesticDemandperCapita*'4. Lüderitz Population Calc'!AU47</f>
        <v>1903297.2371499692</v>
      </c>
      <c r="P48" s="45">
        <f>DomesticDemandperCapita*'4. Lüderitz Population Calc'!AV47</f>
        <v>2855111.6279021581</v>
      </c>
      <c r="Q48" s="45">
        <f>DomesticDemandperCapita*'4. Lüderitz Population Calc'!AW47</f>
        <v>1903297.2371499692</v>
      </c>
      <c r="R48" s="45">
        <f>DomesticDemandperCapita*'4. Lüderitz Population Calc'!AX47</f>
        <v>2396458.0755410618</v>
      </c>
      <c r="S48" s="45">
        <f>DomesticDemandperCapita*'4. Lüderitz Population Calc'!AY47</f>
        <v>2855111.6279021581</v>
      </c>
      <c r="T48" s="45">
        <f>DomesticDemandperCapita*'4. Lüderitz Population Calc'!AZ47</f>
        <v>4731255.8180970484</v>
      </c>
      <c r="U48" s="45">
        <f>DomesticDemandperCapita*'4. Lüderitz Population Calc'!BA47</f>
        <v>4731255.8180970484</v>
      </c>
      <c r="V48" s="45">
        <f>DomesticDemandperCapita*'4. Lüderitz Population Calc'!BB47</f>
        <v>4731255.8180970484</v>
      </c>
    </row>
    <row r="49" spans="2:22" x14ac:dyDescent="0.2">
      <c r="B49" s="44">
        <f t="shared" si="0"/>
        <v>2042</v>
      </c>
      <c r="C49" s="45">
        <f>DomesticDemandperCapita*'4. Lüderitz Population Calc'!C48</f>
        <v>1148478.193736271</v>
      </c>
      <c r="D49" s="45">
        <f>D48+(D48*'2. Control Panel - Lüderitz'!$J$16)</f>
        <v>823605.02892511385</v>
      </c>
      <c r="E49" s="45">
        <f>DomesticDemandperCapita*'4. Lüderitz Population Calc'!AL48</f>
        <v>1943266.4791301184</v>
      </c>
      <c r="F49" s="45">
        <f>DomesticDemandperCapita*'4. Lüderitz Population Calc'!AM48</f>
        <v>2915068.9720881032</v>
      </c>
      <c r="G49" s="45">
        <f>DomesticDemandperCapita*'4. Lüderitz Population Calc'!AN48</f>
        <v>2242979.1076999432</v>
      </c>
      <c r="H49" s="45">
        <f>DomesticDemandperCapita*'4. Lüderitz Population Calc'!AO48</f>
        <v>4542932.2752437359</v>
      </c>
      <c r="I49" s="45">
        <f>DomesticDemandperCapita*'4. Lüderitz Population Calc'!AP48</f>
        <v>3214781.6006579301</v>
      </c>
      <c r="J49" s="45">
        <f>DomesticDemandperCapita*'4. Lüderitz Population Calc'!AQ48</f>
        <v>5514734.7682017218</v>
      </c>
      <c r="K49" s="45">
        <f>DomesticDemandperCapita*'4. Lüderitz Population Calc'!AR48</f>
        <v>5657084.7682017218</v>
      </c>
      <c r="L49" s="45">
        <f>DomesticDemandperCapita*'4. Lüderitz Population Calc'!AS48</f>
        <v>5839292.7682017218</v>
      </c>
      <c r="N49" s="44">
        <f t="shared" si="1"/>
        <v>2042</v>
      </c>
      <c r="O49" s="45">
        <f>DomesticDemandperCapita*'4. Lüderitz Population Calc'!AU48</f>
        <v>1943266.4791301184</v>
      </c>
      <c r="P49" s="45">
        <f>DomesticDemandperCapita*'4. Lüderitz Population Calc'!AV48</f>
        <v>2915068.9720881032</v>
      </c>
      <c r="Q49" s="45">
        <f>DomesticDemandperCapita*'4. Lüderitz Population Calc'!AW48</f>
        <v>1943266.4791301184</v>
      </c>
      <c r="R49" s="45">
        <f>DomesticDemandperCapita*'4. Lüderitz Population Calc'!AX48</f>
        <v>2446783.6951274239</v>
      </c>
      <c r="S49" s="45">
        <f>DomesticDemandperCapita*'4. Lüderitz Population Calc'!AY48</f>
        <v>2915068.9720881032</v>
      </c>
      <c r="T49" s="45">
        <f>DomesticDemandperCapita*'4. Lüderitz Population Calc'!AZ48</f>
        <v>4830612.1902770866</v>
      </c>
      <c r="U49" s="45">
        <f>DomesticDemandperCapita*'4. Lüderitz Population Calc'!BA48</f>
        <v>4830612.1902770866</v>
      </c>
      <c r="V49" s="45">
        <f>DomesticDemandperCapita*'4. Lüderitz Population Calc'!BB48</f>
        <v>5069760.1902770866</v>
      </c>
    </row>
    <row r="50" spans="2:22" x14ac:dyDescent="0.2">
      <c r="B50" s="44">
        <f t="shared" si="0"/>
        <v>2043</v>
      </c>
      <c r="C50" s="45">
        <f>DomesticDemandperCapita*'4. Lüderitz Population Calc'!C49</f>
        <v>1172596.2358047327</v>
      </c>
      <c r="D50" s="45">
        <f>D49+(D49*'2. Control Panel - Lüderitz'!$J$16)</f>
        <v>826899.4490408143</v>
      </c>
      <c r="E50" s="45">
        <f>DomesticDemandperCapita*'4. Lüderitz Population Calc'!AL49</f>
        <v>1984075.075191851</v>
      </c>
      <c r="F50" s="45">
        <f>DomesticDemandperCapita*'4. Lüderitz Population Calc'!AM49</f>
        <v>2976285.4205019535</v>
      </c>
      <c r="G50" s="45">
        <f>DomesticDemandperCapita*'4. Lüderitz Population Calc'!AN49</f>
        <v>2290081.6689616423</v>
      </c>
      <c r="H50" s="45">
        <f>DomesticDemandperCapita*'4. Lüderitz Population Calc'!AO49</f>
        <v>4638333.8530238541</v>
      </c>
      <c r="I50" s="45">
        <f>DomesticDemandperCapita*'4. Lüderitz Population Calc'!AP49</f>
        <v>3282292.0142717469</v>
      </c>
      <c r="J50" s="45">
        <f>DomesticDemandperCapita*'4. Lüderitz Population Calc'!AQ49</f>
        <v>5630544.1983339582</v>
      </c>
      <c r="K50" s="45">
        <f>DomesticDemandperCapita*'4. Lüderitz Population Calc'!AR49</f>
        <v>5775883.5483339587</v>
      </c>
      <c r="L50" s="45">
        <f>DomesticDemandperCapita*'4. Lüderitz Population Calc'!AS49</f>
        <v>5961917.9163339585</v>
      </c>
      <c r="N50" s="44">
        <f t="shared" si="1"/>
        <v>2043</v>
      </c>
      <c r="O50" s="45">
        <f>DomesticDemandperCapita*'4. Lüderitz Population Calc'!AU49</f>
        <v>1984075.075191851</v>
      </c>
      <c r="P50" s="45">
        <f>DomesticDemandperCapita*'4. Lüderitz Population Calc'!AV49</f>
        <v>2976285.4205019535</v>
      </c>
      <c r="Q50" s="45">
        <f>DomesticDemandperCapita*'4. Lüderitz Population Calc'!AW49</f>
        <v>1984075.075191851</v>
      </c>
      <c r="R50" s="45">
        <f>DomesticDemandperCapita*'4. Lüderitz Population Calc'!AX49</f>
        <v>2498166.1527251001</v>
      </c>
      <c r="S50" s="45">
        <f>DomesticDemandperCapita*'4. Lüderitz Population Calc'!AY49</f>
        <v>2976285.4205019535</v>
      </c>
      <c r="T50" s="45">
        <f>DomesticDemandperCapita*'4. Lüderitz Population Calc'!AZ49</f>
        <v>4932055.0462729055</v>
      </c>
      <c r="U50" s="45">
        <f>DomesticDemandperCapita*'4. Lüderitz Population Calc'!BA49</f>
        <v>4932055.0462729055</v>
      </c>
      <c r="V50" s="45">
        <f>DomesticDemandperCapita*'4. Lüderitz Population Calc'!BB49</f>
        <v>5176225.1542729065</v>
      </c>
    </row>
    <row r="51" spans="2:22" x14ac:dyDescent="0.2">
      <c r="B51" s="44">
        <f t="shared" si="0"/>
        <v>2044</v>
      </c>
      <c r="C51" s="45">
        <f>DomesticDemandperCapita*'4. Lüderitz Population Calc'!C50</f>
        <v>1197220.7567566321</v>
      </c>
      <c r="D51" s="45">
        <f>D50+(D50*'2. Control Panel - Lüderitz'!$J$16)</f>
        <v>830207.04683697759</v>
      </c>
      <c r="E51" s="45">
        <f>DomesticDemandperCapita*'4. Lüderitz Population Calc'!AL50</f>
        <v>2025740.6517708797</v>
      </c>
      <c r="F51" s="45">
        <f>DomesticDemandperCapita*'4. Lüderitz Population Calc'!AM50</f>
        <v>3038787.4143324946</v>
      </c>
      <c r="G51" s="45">
        <f>DomesticDemandperCapita*'4. Lüderitz Population Calc'!AN50</f>
        <v>2338173.3840098367</v>
      </c>
      <c r="H51" s="45">
        <f>DomesticDemandperCapita*'4. Lüderitz Population Calc'!AO50</f>
        <v>4735738.8639373546</v>
      </c>
      <c r="I51" s="45">
        <f>DomesticDemandperCapita*'4. Lüderitz Population Calc'!AP50</f>
        <v>3351220.1465714537</v>
      </c>
      <c r="J51" s="45">
        <f>DomesticDemandperCapita*'4. Lüderitz Population Calc'!AQ50</f>
        <v>5748785.6264989721</v>
      </c>
      <c r="K51" s="45">
        <f>DomesticDemandperCapita*'4. Lüderitz Population Calc'!AR50</f>
        <v>5897177.1028489713</v>
      </c>
      <c r="L51" s="45">
        <f>DomesticDemandperCapita*'4. Lüderitz Population Calc'!AS50</f>
        <v>6087118.1925769718</v>
      </c>
      <c r="N51" s="44">
        <f t="shared" si="1"/>
        <v>2044</v>
      </c>
      <c r="O51" s="45">
        <f>DomesticDemandperCapita*'4. Lüderitz Population Calc'!AU50</f>
        <v>2025740.6517708797</v>
      </c>
      <c r="P51" s="45">
        <f>DomesticDemandperCapita*'4. Lüderitz Population Calc'!AV50</f>
        <v>3038787.4143324946</v>
      </c>
      <c r="Q51" s="45">
        <f>DomesticDemandperCapita*'4. Lüderitz Population Calc'!AW50</f>
        <v>2025740.6517708797</v>
      </c>
      <c r="R51" s="45">
        <f>DomesticDemandperCapita*'4. Lüderitz Population Calc'!AX50</f>
        <v>2550627.6419323268</v>
      </c>
      <c r="S51" s="45">
        <f>DomesticDemandperCapita*'4. Lüderitz Population Calc'!AY50</f>
        <v>3038787.4143324946</v>
      </c>
      <c r="T51" s="45">
        <f>DomesticDemandperCapita*'4. Lüderitz Population Calc'!AZ50</f>
        <v>5035628.2022446366</v>
      </c>
      <c r="U51" s="45">
        <f>DomesticDemandperCapita*'4. Lüderitz Population Calc'!BA50</f>
        <v>5035628.2022446366</v>
      </c>
      <c r="V51" s="45">
        <f>DomesticDemandperCapita*'4. Lüderitz Population Calc'!BB50</f>
        <v>5284925.8825126374</v>
      </c>
    </row>
    <row r="52" spans="2:22" x14ac:dyDescent="0.2">
      <c r="B52" s="44">
        <f t="shared" si="0"/>
        <v>2045</v>
      </c>
      <c r="C52" s="45">
        <f>DomesticDemandperCapita*'4. Lüderitz Population Calc'!C51</f>
        <v>1222362.3926485213</v>
      </c>
      <c r="D52" s="45">
        <f>D51+(D51*'2. Control Panel - Lüderitz'!$J$16)</f>
        <v>833527.87502432545</v>
      </c>
      <c r="E52" s="45">
        <f>DomesticDemandperCapita*'4. Lüderitz Population Calc'!AL51</f>
        <v>2068281.2054580683</v>
      </c>
      <c r="F52" s="45">
        <f>DomesticDemandperCapita*'4. Lüderitz Population Calc'!AM51</f>
        <v>3102601.950033477</v>
      </c>
      <c r="G52" s="45">
        <f>DomesticDemandperCapita*'4. Lüderitz Population Calc'!AN51</f>
        <v>2387275.0250740433</v>
      </c>
      <c r="H52" s="45">
        <f>DomesticDemandperCapita*'4. Lüderitz Population Calc'!AO51</f>
        <v>4835189.3800800396</v>
      </c>
      <c r="I52" s="45">
        <f>DomesticDemandperCapita*'4. Lüderitz Population Calc'!AP51</f>
        <v>3421595.7696494539</v>
      </c>
      <c r="J52" s="45">
        <f>DomesticDemandperCapita*'4. Lüderitz Population Calc'!AQ51</f>
        <v>5869510.1246554507</v>
      </c>
      <c r="K52" s="45">
        <f>DomesticDemandperCapita*'4. Lüderitz Population Calc'!AR51</f>
        <v>6021017.8220087998</v>
      </c>
      <c r="L52" s="45">
        <f>DomesticDemandperCapita*'4. Lüderitz Population Calc'!AS51</f>
        <v>6214947.6746210875</v>
      </c>
      <c r="N52" s="44">
        <f t="shared" si="1"/>
        <v>2045</v>
      </c>
      <c r="O52" s="45">
        <f>DomesticDemandperCapita*'4. Lüderitz Population Calc'!AU51</f>
        <v>2068281.2054580683</v>
      </c>
      <c r="P52" s="45">
        <f>DomesticDemandperCapita*'4. Lüderitz Population Calc'!AV51</f>
        <v>3102601.950033477</v>
      </c>
      <c r="Q52" s="45">
        <f>DomesticDemandperCapita*'4. Lüderitz Population Calc'!AW51</f>
        <v>2068281.2054580683</v>
      </c>
      <c r="R52" s="45">
        <f>DomesticDemandperCapita*'4. Lüderitz Population Calc'!AX51</f>
        <v>2604190.8224129062</v>
      </c>
      <c r="S52" s="45">
        <f>DomesticDemandperCapita*'4. Lüderitz Population Calc'!AY51</f>
        <v>3102601.950033477</v>
      </c>
      <c r="T52" s="45">
        <f>DomesticDemandperCapita*'4. Lüderitz Population Calc'!AZ51</f>
        <v>5141376.394491774</v>
      </c>
      <c r="U52" s="45">
        <f>DomesticDemandperCapita*'4. Lüderitz Population Calc'!BA51</f>
        <v>5141376.394491774</v>
      </c>
      <c r="V52" s="45">
        <f>DomesticDemandperCapita*'4. Lüderitz Population Calc'!BB51</f>
        <v>5395909.3260454023</v>
      </c>
    </row>
    <row r="53" spans="2:22" x14ac:dyDescent="0.2">
      <c r="B53" s="44">
        <f t="shared" si="0"/>
        <v>2046</v>
      </c>
      <c r="C53" s="45">
        <f>DomesticDemandperCapita*'4. Lüderitz Population Calc'!C52</f>
        <v>1248032.0028941403</v>
      </c>
      <c r="D53" s="45">
        <f>D52+(D52*'2. Control Panel - Lüderitz'!$J$16)</f>
        <v>836861.98652442277</v>
      </c>
      <c r="E53" s="45">
        <f>DomesticDemandperCapita*'4. Lüderitz Population Calc'!AL52</f>
        <v>2111715.1107726875</v>
      </c>
      <c r="F53" s="45">
        <f>DomesticDemandperCapita*'4. Lüderitz Population Calc'!AM52</f>
        <v>3167756.5909841801</v>
      </c>
      <c r="G53" s="45">
        <f>DomesticDemandperCapita*'4. Lüderitz Population Calc'!AN52</f>
        <v>2437407.8006005986</v>
      </c>
      <c r="H53" s="45">
        <f>DomesticDemandperCapita*'4. Lüderitz Population Calc'!AO52</f>
        <v>4936728.3570617205</v>
      </c>
      <c r="I53" s="45">
        <f>DomesticDemandperCapita*'4. Lüderitz Population Calc'!AP52</f>
        <v>3493449.2808120926</v>
      </c>
      <c r="J53" s="45">
        <f>DomesticDemandperCapita*'4. Lüderitz Population Calc'!AQ52</f>
        <v>5992769.8372732149</v>
      </c>
      <c r="K53" s="45">
        <f>DomesticDemandperCapita*'4. Lüderitz Population Calc'!AR52</f>
        <v>6147459.1962709846</v>
      </c>
      <c r="L53" s="45">
        <f>DomesticDemandperCapita*'4. Lüderitz Population Calc'!AS52</f>
        <v>6345461.575788131</v>
      </c>
      <c r="N53" s="44">
        <f t="shared" si="1"/>
        <v>2046</v>
      </c>
      <c r="O53" s="45">
        <f>DomesticDemandperCapita*'4. Lüderitz Population Calc'!AU52</f>
        <v>2111715.1107726875</v>
      </c>
      <c r="P53" s="45">
        <f>DomesticDemandperCapita*'4. Lüderitz Population Calc'!AV52</f>
        <v>3167756.5909841801</v>
      </c>
      <c r="Q53" s="45">
        <f>DomesticDemandperCapita*'4. Lüderitz Population Calc'!AW52</f>
        <v>2111715.1107726875</v>
      </c>
      <c r="R53" s="45">
        <f>DomesticDemandperCapita*'4. Lüderitz Population Calc'!AX52</f>
        <v>2658878.8296835772</v>
      </c>
      <c r="S53" s="45">
        <f>DomesticDemandperCapita*'4. Lüderitz Population Calc'!AY52</f>
        <v>3167756.5909841801</v>
      </c>
      <c r="T53" s="45">
        <f>DomesticDemandperCapita*'4. Lüderitz Population Calc'!AZ52</f>
        <v>5249345.2987761013</v>
      </c>
      <c r="U53" s="45">
        <f>DomesticDemandperCapita*'4. Lüderitz Population Calc'!BA52</f>
        <v>5249345.2987761013</v>
      </c>
      <c r="V53" s="45">
        <f>DomesticDemandperCapita*'4. Lüderitz Population Calc'!BB52</f>
        <v>5509223.4218923552</v>
      </c>
    </row>
    <row r="54" spans="2:22" x14ac:dyDescent="0.2">
      <c r="B54" s="44">
        <f t="shared" si="0"/>
        <v>2047</v>
      </c>
      <c r="C54" s="45">
        <f>DomesticDemandperCapita*'4. Lüderitz Population Calc'!C53</f>
        <v>1274240.6749549173</v>
      </c>
      <c r="D54" s="45">
        <f>D53+(D53*'2. Control Panel - Lüderitz'!$J$16)</f>
        <v>840209.43447052047</v>
      </c>
      <c r="E54" s="45">
        <f>DomesticDemandperCapita*'4. Lüderitz Population Calc'!AL53</f>
        <v>2156061.1280989139</v>
      </c>
      <c r="F54" s="45">
        <f>DomesticDemandperCapita*'4. Lüderitz Population Calc'!AM53</f>
        <v>3234279.479394848</v>
      </c>
      <c r="G54" s="45">
        <f>DomesticDemandperCapita*'4. Lüderitz Population Calc'!AN53</f>
        <v>2488593.3644132111</v>
      </c>
      <c r="H54" s="45">
        <f>DomesticDemandperCapita*'4. Lüderitz Population Calc'!AO53</f>
        <v>5040399.6525600171</v>
      </c>
      <c r="I54" s="45">
        <f>DomesticDemandperCapita*'4. Lüderitz Population Calc'!AP53</f>
        <v>3566811.7157091466</v>
      </c>
      <c r="J54" s="45">
        <f>DomesticDemandperCapita*'4. Lüderitz Population Calc'!AQ53</f>
        <v>6118618.003855953</v>
      </c>
      <c r="K54" s="45">
        <f>DomesticDemandperCapita*'4. Lüderitz Population Calc'!AR53</f>
        <v>6276555.8393926751</v>
      </c>
      <c r="L54" s="45">
        <f>DomesticDemandperCapita*'4. Lüderitz Population Calc'!AS53</f>
        <v>6478716.2688796809</v>
      </c>
      <c r="N54" s="44">
        <f t="shared" si="1"/>
        <v>2047</v>
      </c>
      <c r="O54" s="45">
        <f>DomesticDemandperCapita*'4. Lüderitz Population Calc'!AU53</f>
        <v>2156061.1280989139</v>
      </c>
      <c r="P54" s="45">
        <f>DomesticDemandperCapita*'4. Lüderitz Population Calc'!AV53</f>
        <v>3234279.479394848</v>
      </c>
      <c r="Q54" s="45">
        <f>DomesticDemandperCapita*'4. Lüderitz Population Calc'!AW53</f>
        <v>2156061.1280989139</v>
      </c>
      <c r="R54" s="45">
        <f>DomesticDemandperCapita*'4. Lüderitz Population Calc'!AX53</f>
        <v>2714715.2851069323</v>
      </c>
      <c r="S54" s="45">
        <f>DomesticDemandperCapita*'4. Lüderitz Population Calc'!AY53</f>
        <v>3234279.479394848</v>
      </c>
      <c r="T54" s="45">
        <f>DomesticDemandperCapita*'4. Lüderitz Population Calc'!AZ53</f>
        <v>5359581.5500503993</v>
      </c>
      <c r="U54" s="45">
        <f>DomesticDemandperCapita*'4. Lüderitz Population Calc'!BA53</f>
        <v>5359581.5500503993</v>
      </c>
      <c r="V54" s="45">
        <f>DomesticDemandperCapita*'4. Lüderitz Population Calc'!BB53</f>
        <v>5624917.113752095</v>
      </c>
    </row>
    <row r="55" spans="2:22" x14ac:dyDescent="0.2">
      <c r="B55" s="44">
        <f t="shared" si="0"/>
        <v>2048</v>
      </c>
      <c r="C55" s="45">
        <f>DomesticDemandperCapita*'4. Lüderitz Population Calc'!C54</f>
        <v>1300999.7291289705</v>
      </c>
      <c r="D55" s="45">
        <f>D54+(D54*'2. Control Panel - Lüderitz'!$J$16)</f>
        <v>843570.27220840252</v>
      </c>
      <c r="E55" s="45">
        <f>DomesticDemandperCapita*'4. Lüderitz Population Calc'!AL54</f>
        <v>2201338.4117889912</v>
      </c>
      <c r="F55" s="45">
        <f>DomesticDemandperCapita*'4. Lüderitz Population Calc'!AM54</f>
        <v>3302199.3484621393</v>
      </c>
      <c r="G55" s="45">
        <f>DomesticDemandperCapita*'4. Lüderitz Population Calc'!AN54</f>
        <v>2540853.8250658885</v>
      </c>
      <c r="H55" s="45">
        <f>DomesticDemandperCapita*'4. Lüderitz Population Calc'!AO54</f>
        <v>5146248.0452637766</v>
      </c>
      <c r="I55" s="45">
        <f>DomesticDemandperCapita*'4. Lüderitz Population Calc'!AP54</f>
        <v>3641714.7617390389</v>
      </c>
      <c r="J55" s="45">
        <f>DomesticDemandperCapita*'4. Lüderitz Population Calc'!AQ54</f>
        <v>6247108.9819369279</v>
      </c>
      <c r="K55" s="45">
        <f>DomesticDemandperCapita*'4. Lüderitz Population Calc'!AR54</f>
        <v>6408363.5120199202</v>
      </c>
      <c r="L55" s="45">
        <f>DomesticDemandperCapita*'4. Lüderitz Population Calc'!AS54</f>
        <v>6614769.310526154</v>
      </c>
      <c r="N55" s="44">
        <f t="shared" si="1"/>
        <v>2048</v>
      </c>
      <c r="O55" s="45">
        <f>DomesticDemandperCapita*'4. Lüderitz Population Calc'!AU54</f>
        <v>2201338.4117889912</v>
      </c>
      <c r="P55" s="45">
        <f>DomesticDemandperCapita*'4. Lüderitz Population Calc'!AV54</f>
        <v>3302199.3484621393</v>
      </c>
      <c r="Q55" s="45">
        <f>DomesticDemandperCapita*'4. Lüderitz Population Calc'!AW54</f>
        <v>2201338.4117889912</v>
      </c>
      <c r="R55" s="45">
        <f>DomesticDemandperCapita*'4. Lüderitz Population Calc'!AX54</f>
        <v>2771724.3060941775</v>
      </c>
      <c r="S55" s="45">
        <f>DomesticDemandperCapita*'4. Lüderitz Population Calc'!AY54</f>
        <v>3302199.3484621393</v>
      </c>
      <c r="T55" s="45">
        <f>DomesticDemandperCapita*'4. Lüderitz Population Calc'!AZ54</f>
        <v>5472132.7626014575</v>
      </c>
      <c r="U55" s="45">
        <f>DomesticDemandperCapita*'4. Lüderitz Population Calc'!BA54</f>
        <v>5472132.7626014575</v>
      </c>
      <c r="V55" s="45">
        <f>DomesticDemandperCapita*'4. Lüderitz Population Calc'!BB54</f>
        <v>5743040.3731408883</v>
      </c>
    </row>
    <row r="56" spans="2:22" x14ac:dyDescent="0.2">
      <c r="B56" s="44">
        <f>B55+1</f>
        <v>2049</v>
      </c>
      <c r="C56" s="45">
        <f>DomesticDemandperCapita*'4. Lüderitz Population Calc'!C55</f>
        <v>1328320.7234406788</v>
      </c>
      <c r="D56" s="45">
        <f>D55+(D55*'2. Control Panel - Lüderitz'!$J$16)</f>
        <v>846944.5532972361</v>
      </c>
      <c r="E56" s="45">
        <f>DomesticDemandperCapita*'4. Lüderitz Population Calc'!AL55</f>
        <v>2247566.5184365599</v>
      </c>
      <c r="F56" s="45">
        <f>DomesticDemandperCapita*'4. Lüderitz Population Calc'!AM55</f>
        <v>3371545.5347798448</v>
      </c>
      <c r="G56" s="45">
        <f>DomesticDemandperCapita*'4. Lüderitz Population Calc'!AN55</f>
        <v>2594211.7553922716</v>
      </c>
      <c r="H56" s="45">
        <f>DomesticDemandperCapita*'4. Lüderitz Population Calc'!AO55</f>
        <v>5254319.2542143166</v>
      </c>
      <c r="I56" s="45">
        <f>DomesticDemandperCapita*'4. Lüderitz Population Calc'!AP55</f>
        <v>3718190.7717355592</v>
      </c>
      <c r="J56" s="45">
        <f>DomesticDemandperCapita*'4. Lüderitz Population Calc'!AQ55</f>
        <v>6378298.2705576029</v>
      </c>
      <c r="K56" s="45">
        <f>DomesticDemandperCapita*'4. Lüderitz Population Calc'!AR55</f>
        <v>6542939.1457723388</v>
      </c>
      <c r="L56" s="45">
        <f>DomesticDemandperCapita*'4. Lüderitz Population Calc'!AS55</f>
        <v>6753679.4660472032</v>
      </c>
      <c r="N56" s="44">
        <f>N55+1</f>
        <v>2049</v>
      </c>
      <c r="O56" s="45">
        <f>DomesticDemandperCapita*'4. Lüderitz Population Calc'!AU55</f>
        <v>2247566.5184365599</v>
      </c>
      <c r="P56" s="45">
        <f>DomesticDemandperCapita*'4. Lüderitz Population Calc'!AV55</f>
        <v>3371545.5347798448</v>
      </c>
      <c r="Q56" s="45">
        <f>DomesticDemandperCapita*'4. Lüderitz Population Calc'!AW55</f>
        <v>2247566.5184365599</v>
      </c>
      <c r="R56" s="45">
        <f>DomesticDemandperCapita*'4. Lüderitz Population Calc'!AX55</f>
        <v>2829930.5165221556</v>
      </c>
      <c r="S56" s="45">
        <f>DomesticDemandperCapita*'4. Lüderitz Population Calc'!AY55</f>
        <v>3371545.5347798448</v>
      </c>
      <c r="T56" s="45">
        <f>DomesticDemandperCapita*'4. Lüderitz Population Calc'!AZ55</f>
        <v>5587047.5506160883</v>
      </c>
      <c r="U56" s="45">
        <f>DomesticDemandperCapita*'4. Lüderitz Population Calc'!BA55</f>
        <v>5587047.5506160883</v>
      </c>
      <c r="V56" s="45">
        <f>DomesticDemandperCapita*'4. Lüderitz Population Calc'!BB55</f>
        <v>5863644.2209768472</v>
      </c>
    </row>
    <row r="57" spans="2:22" x14ac:dyDescent="0.2">
      <c r="B57" s="44">
        <f>B56+1</f>
        <v>2050</v>
      </c>
      <c r="C57" s="45">
        <f>DomesticDemandperCapita*'4. Lüderitz Population Calc'!C56</f>
        <v>1356215.4586329332</v>
      </c>
      <c r="D57" s="45">
        <f>D56+(D56*'2. Control Panel - Lüderitz'!$J$16)</f>
        <v>850332.33151042508</v>
      </c>
      <c r="E57" s="45">
        <f>DomesticDemandperCapita*'4. Lüderitz Population Calc'!AL56</f>
        <v>2294765.4153237278</v>
      </c>
      <c r="F57" s="45">
        <f>DomesticDemandperCapita*'4. Lüderitz Population Calc'!AM56</f>
        <v>3442347.9910102212</v>
      </c>
      <c r="G57" s="45">
        <f>DomesticDemandperCapita*'4. Lüderitz Population Calc'!AN56</f>
        <v>2648690.2022555093</v>
      </c>
      <c r="H57" s="45">
        <f>DomesticDemandperCapita*'4. Lüderitz Population Calc'!AO56</f>
        <v>5364659.9585528169</v>
      </c>
      <c r="I57" s="45">
        <f>DomesticDemandperCapita*'4. Lüderitz Population Calc'!AP56</f>
        <v>3796272.777942006</v>
      </c>
      <c r="J57" s="45">
        <f>DomesticDemandperCapita*'4. Lüderitz Population Calc'!AQ56</f>
        <v>6512242.5342393126</v>
      </c>
      <c r="K57" s="45">
        <f>DomesticDemandperCapita*'4. Lüderitz Population Calc'!AR56</f>
        <v>6680340.8678335575</v>
      </c>
      <c r="L57" s="45">
        <f>DomesticDemandperCapita*'4. Lüderitz Population Calc'!AS56</f>
        <v>6895506.7348341951</v>
      </c>
      <c r="N57" s="44">
        <f>N56+1</f>
        <v>2050</v>
      </c>
      <c r="O57" s="45">
        <f>DomesticDemandperCapita*'4. Lüderitz Population Calc'!AU56</f>
        <v>2294765.4153237278</v>
      </c>
      <c r="P57" s="45">
        <f>DomesticDemandperCapita*'4. Lüderitz Population Calc'!AV56</f>
        <v>3442347.9910102212</v>
      </c>
      <c r="Q57" s="45">
        <f>DomesticDemandperCapita*'4. Lüderitz Population Calc'!AW56</f>
        <v>2294765.4153237278</v>
      </c>
      <c r="R57" s="45">
        <f>DomesticDemandperCapita*'4. Lüderitz Population Calc'!AX56</f>
        <v>2889359.0573691204</v>
      </c>
      <c r="S57" s="45">
        <f>DomesticDemandperCapita*'4. Lüderitz Population Calc'!AY56</f>
        <v>3442347.9910102212</v>
      </c>
      <c r="T57" s="45">
        <f>DomesticDemandperCapita*'4. Lüderitz Population Calc'!AZ56</f>
        <v>5704375.5491790269</v>
      </c>
      <c r="U57" s="45">
        <f>DomesticDemandperCapita*'4. Lüderitz Population Calc'!BA56</f>
        <v>5704375.5491790269</v>
      </c>
      <c r="V57" s="45">
        <f>DomesticDemandperCapita*'4. Lüderitz Population Calc'!BB56</f>
        <v>5986780.7496173615</v>
      </c>
    </row>
  </sheetData>
  <sheetProtection sheet="1" objects="1" scenarios="1" selectLockedCells="1"/>
  <mergeCells count="16">
    <mergeCell ref="B4:U6"/>
    <mergeCell ref="N29:V30"/>
    <mergeCell ref="B29:L30"/>
    <mergeCell ref="E11:F11"/>
    <mergeCell ref="B11:D11"/>
    <mergeCell ref="E10:F10"/>
    <mergeCell ref="B10:D10"/>
    <mergeCell ref="B27:V27"/>
    <mergeCell ref="B8:F9"/>
    <mergeCell ref="E12:F12"/>
    <mergeCell ref="B12:D12"/>
    <mergeCell ref="B18:D18"/>
    <mergeCell ref="E18:F18"/>
    <mergeCell ref="E13:F13"/>
    <mergeCell ref="B16:F17"/>
    <mergeCell ref="B13:D1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5AD9-0CB2-4B58-8C6F-BFFA442E7CFB}">
  <sheetPr codeName="Tabelle7">
    <tabColor theme="6"/>
  </sheetPr>
  <dimension ref="B1:T89"/>
  <sheetViews>
    <sheetView zoomScale="80" zoomScaleNormal="80" workbookViewId="0">
      <selection activeCell="E14" sqref="E14:F14"/>
    </sheetView>
  </sheetViews>
  <sheetFormatPr baseColWidth="10" defaultColWidth="11" defaultRowHeight="14.25" x14ac:dyDescent="0.2"/>
  <cols>
    <col min="1" max="1" width="2.875" style="20" customWidth="1"/>
    <col min="2" max="2" width="11" style="20"/>
    <col min="3" max="3" width="15.125" style="20" customWidth="1"/>
    <col min="4" max="8" width="11" style="20"/>
    <col min="9" max="9" width="12.625" style="20" customWidth="1"/>
    <col min="10" max="10" width="12" style="20" customWidth="1"/>
    <col min="11" max="11" width="12.25" style="20" customWidth="1"/>
    <col min="12" max="12" width="12.625" style="20" customWidth="1"/>
    <col min="13" max="13" width="12.125" style="20" customWidth="1"/>
    <col min="14" max="16" width="11" style="20"/>
    <col min="17" max="17" width="14.625" style="20" customWidth="1"/>
    <col min="18" max="18" width="14.5" style="20" customWidth="1"/>
    <col min="19" max="16384" width="11" style="20"/>
  </cols>
  <sheetData>
    <row r="1" spans="2:20" ht="7.5" customHeight="1" x14ac:dyDescent="0.2"/>
    <row r="2" spans="2:20" s="1" customFormat="1" ht="23.45" customHeight="1" x14ac:dyDescent="0.2">
      <c r="B2" s="2" t="s">
        <v>119</v>
      </c>
    </row>
    <row r="3" spans="2:20" ht="25.35" customHeight="1" x14ac:dyDescent="0.2"/>
    <row r="4" spans="2:20" ht="14.25" customHeight="1" x14ac:dyDescent="0.2">
      <c r="B4" s="124" t="s">
        <v>305</v>
      </c>
      <c r="C4" s="125"/>
      <c r="D4" s="125"/>
      <c r="E4" s="125"/>
      <c r="F4" s="125"/>
      <c r="G4" s="125"/>
      <c r="H4" s="125"/>
      <c r="I4" s="125"/>
      <c r="J4" s="125"/>
      <c r="K4" s="125"/>
      <c r="L4" s="125"/>
      <c r="M4" s="125"/>
      <c r="N4" s="125"/>
      <c r="O4" s="125"/>
      <c r="P4" s="125"/>
      <c r="Q4" s="125"/>
      <c r="R4" s="125"/>
      <c r="S4" s="125"/>
      <c r="T4" s="126"/>
    </row>
    <row r="5" spans="2:20" x14ac:dyDescent="0.2">
      <c r="B5" s="127"/>
      <c r="C5" s="128"/>
      <c r="D5" s="128"/>
      <c r="E5" s="128"/>
      <c r="F5" s="128"/>
      <c r="G5" s="128"/>
      <c r="H5" s="128"/>
      <c r="I5" s="128"/>
      <c r="J5" s="128"/>
      <c r="K5" s="128"/>
      <c r="L5" s="128"/>
      <c r="M5" s="128"/>
      <c r="N5" s="128"/>
      <c r="O5" s="128"/>
      <c r="P5" s="128"/>
      <c r="Q5" s="128"/>
      <c r="R5" s="128"/>
      <c r="S5" s="128"/>
      <c r="T5" s="129"/>
    </row>
    <row r="6" spans="2:20" ht="25.35" customHeight="1" x14ac:dyDescent="0.2"/>
    <row r="7" spans="2:20" ht="25.35" customHeight="1" x14ac:dyDescent="0.2">
      <c r="B7" s="130" t="s">
        <v>72</v>
      </c>
      <c r="C7" s="130"/>
      <c r="D7" s="130"/>
      <c r="E7" s="130"/>
      <c r="F7" s="130"/>
    </row>
    <row r="8" spans="2:20" ht="25.35" customHeight="1" x14ac:dyDescent="0.2">
      <c r="B8" s="130"/>
      <c r="C8" s="130"/>
      <c r="D8" s="130"/>
      <c r="E8" s="130"/>
      <c r="F8" s="130"/>
    </row>
    <row r="9" spans="2:20" ht="30.75" customHeight="1" x14ac:dyDescent="0.2">
      <c r="B9" s="103" t="str">
        <f>'2. Control Panel - Lüderitz'!I14</f>
        <v>2024 industrial water demand [m3/year]</v>
      </c>
      <c r="C9" s="103"/>
      <c r="D9" s="103"/>
      <c r="E9" s="131">
        <f>'2. Control Panel - Lüderitz'!J14</f>
        <v>379600</v>
      </c>
      <c r="F9" s="131"/>
    </row>
    <row r="10" spans="2:20" ht="33" customHeight="1" x14ac:dyDescent="0.2">
      <c r="B10" s="103" t="str">
        <f>'2. Control Panel - Lüderitz'!I15</f>
        <v>Historic industrial water demand growth rate (comparison)</v>
      </c>
      <c r="C10" s="103"/>
      <c r="D10" s="103"/>
      <c r="E10" s="104">
        <f>'2. Control Panel - Lüderitz'!J15</f>
        <v>0.08</v>
      </c>
      <c r="F10" s="104"/>
    </row>
    <row r="11" spans="2:20" ht="36" customHeight="1" x14ac:dyDescent="0.2"/>
    <row r="12" spans="2:20" ht="32.25" customHeight="1" x14ac:dyDescent="0.2">
      <c r="B12" s="132" t="s">
        <v>112</v>
      </c>
      <c r="C12" s="132"/>
      <c r="D12" s="132"/>
      <c r="E12" s="132"/>
      <c r="F12" s="132"/>
    </row>
    <row r="13" spans="2:20" ht="25.35" customHeight="1" x14ac:dyDescent="0.2">
      <c r="B13" s="132"/>
      <c r="C13" s="132"/>
      <c r="D13" s="132"/>
      <c r="E13" s="132"/>
      <c r="F13" s="132"/>
    </row>
    <row r="14" spans="2:20" ht="36" customHeight="1" x14ac:dyDescent="0.2">
      <c r="B14" s="132" t="s">
        <v>120</v>
      </c>
      <c r="C14" s="132"/>
      <c r="D14" s="132"/>
      <c r="E14" s="133" t="s">
        <v>121</v>
      </c>
      <c r="F14" s="133"/>
    </row>
    <row r="15" spans="2:20" ht="44.25" customHeight="1" x14ac:dyDescent="0.2">
      <c r="B15" s="132" t="s">
        <v>122</v>
      </c>
      <c r="C15" s="132"/>
      <c r="D15" s="132"/>
      <c r="E15" s="133" t="s">
        <v>74</v>
      </c>
      <c r="F15" s="133"/>
    </row>
    <row r="16" spans="2:20" ht="25.35" customHeight="1" x14ac:dyDescent="0.2"/>
    <row r="17" spans="2:18" ht="25.35" customHeight="1" x14ac:dyDescent="0.2"/>
    <row r="18" spans="2:18" ht="25.35" customHeight="1" x14ac:dyDescent="0.2"/>
    <row r="19" spans="2:18" ht="25.35" customHeight="1" x14ac:dyDescent="0.2"/>
    <row r="20" spans="2:18" ht="25.35" customHeight="1" x14ac:dyDescent="0.2"/>
    <row r="21" spans="2:18" ht="25.35" customHeight="1" x14ac:dyDescent="0.2"/>
    <row r="22" spans="2:18" ht="25.35" customHeight="1" x14ac:dyDescent="0.2"/>
    <row r="23" spans="2:18" ht="25.35" customHeight="1" x14ac:dyDescent="0.2"/>
    <row r="24" spans="2:18" ht="25.35" customHeight="1" x14ac:dyDescent="0.2"/>
    <row r="25" spans="2:18" ht="25.35" customHeight="1" x14ac:dyDescent="0.2"/>
    <row r="26" spans="2:18" ht="25.35" customHeight="1" x14ac:dyDescent="0.2"/>
    <row r="27" spans="2:18" s="39" customFormat="1" ht="23.45" customHeight="1" x14ac:dyDescent="0.2">
      <c r="B27" s="99" t="s">
        <v>123</v>
      </c>
      <c r="C27" s="99"/>
      <c r="D27" s="99"/>
      <c r="E27" s="99"/>
      <c r="F27" s="99"/>
      <c r="G27" s="99"/>
      <c r="H27" s="99"/>
      <c r="I27" s="99"/>
      <c r="J27" s="99"/>
      <c r="K27" s="99"/>
      <c r="L27" s="99"/>
      <c r="M27" s="99"/>
      <c r="N27" s="99"/>
      <c r="O27" s="99"/>
      <c r="P27" s="99"/>
      <c r="Q27" s="99"/>
      <c r="R27" s="99"/>
    </row>
    <row r="28" spans="2:18" s="39" customFormat="1" ht="15" x14ac:dyDescent="0.2"/>
    <row r="29" spans="2:18" ht="14.25" customHeight="1" x14ac:dyDescent="0.2">
      <c r="E29" s="123" t="s">
        <v>124</v>
      </c>
      <c r="F29" s="123"/>
      <c r="G29" s="123"/>
      <c r="H29" s="123"/>
      <c r="I29" s="123"/>
      <c r="J29" s="123"/>
      <c r="K29" s="123"/>
      <c r="L29" s="123"/>
      <c r="M29" s="123"/>
      <c r="N29" s="123"/>
      <c r="O29" s="123"/>
      <c r="P29" s="123"/>
      <c r="Q29" s="123"/>
      <c r="R29" s="123"/>
    </row>
    <row r="30" spans="2:18" ht="14.25" customHeight="1" x14ac:dyDescent="0.2">
      <c r="E30" s="123"/>
      <c r="F30" s="123"/>
      <c r="G30" s="123"/>
      <c r="H30" s="123"/>
      <c r="I30" s="123"/>
      <c r="J30" s="123"/>
      <c r="K30" s="123"/>
      <c r="L30" s="123"/>
      <c r="M30" s="123"/>
      <c r="N30" s="123"/>
      <c r="O30" s="123"/>
      <c r="P30" s="123"/>
      <c r="Q30" s="123"/>
      <c r="R30" s="123"/>
    </row>
    <row r="31" spans="2:18" ht="57.75" customHeight="1" x14ac:dyDescent="0.2">
      <c r="B31" s="56" t="s">
        <v>34</v>
      </c>
      <c r="C31" s="60" t="s">
        <v>125</v>
      </c>
      <c r="E31" s="57" t="s">
        <v>90</v>
      </c>
      <c r="F31" s="57" t="s">
        <v>92</v>
      </c>
      <c r="G31" s="57" t="s">
        <v>61</v>
      </c>
      <c r="H31" s="57" t="s">
        <v>63</v>
      </c>
      <c r="I31" s="57" t="s">
        <v>66</v>
      </c>
      <c r="J31" s="57" t="s">
        <v>94</v>
      </c>
      <c r="K31" s="57" t="s">
        <v>29</v>
      </c>
      <c r="L31" s="57" t="s">
        <v>51</v>
      </c>
      <c r="M31" s="57" t="s">
        <v>58</v>
      </c>
      <c r="N31" s="57" t="s">
        <v>60</v>
      </c>
      <c r="O31" s="57" t="s">
        <v>126</v>
      </c>
      <c r="P31" s="57" t="s">
        <v>54</v>
      </c>
      <c r="Q31" s="57" t="s">
        <v>127</v>
      </c>
      <c r="R31" s="57" t="s">
        <v>128</v>
      </c>
    </row>
    <row r="32" spans="2:18" x14ac:dyDescent="0.2">
      <c r="B32" s="49">
        <f>ScenarioStart</f>
        <v>2025</v>
      </c>
      <c r="C32" s="50">
        <f>'2. Control Panel - Lüderitz'!J14+('2. Control Panel - Lüderitz'!J14*'2. Control Panel - Lüderitz'!J15)</f>
        <v>409968</v>
      </c>
      <c r="E32" s="45" t="str">
        <f>IF(B32&lt;'3. Lüderitz Industry'!$C$12,"",IF(B32&lt;'3. Lüderitz Industry'!$C$16,'3. Lüderitz Industry'!$F$15,IF(B32&lt;'3. Lüderitz Industry'!$C$17,'3. Lüderitz Industry'!$F$16,'3. Lüderitz Industry'!$F$17)))</f>
        <v/>
      </c>
      <c r="F32" s="45" t="str">
        <f>IF(B32&lt;'3. Lüderitz Industry'!$C$26,"",IF(B32&lt;'3. Lüderitz Industry'!$C$27,'3. Lüderitz Industry'!$F$26,IF(B32&lt;'3. Lüderitz Industry'!$C$28,'3. Lüderitz Industry'!$F$27,'3. Lüderitz Industry'!$F$28)))</f>
        <v/>
      </c>
      <c r="G32" s="45" t="str">
        <f>IF(B32&lt;'3. Lüderitz Industry'!$C$32,"",'3. Lüderitz Industry'!$C$34)</f>
        <v/>
      </c>
      <c r="H32" s="45" t="str">
        <f>IF(B32&lt;'3. Lüderitz Industry'!$C$38,"",'3. Lüderitz Industry'!$C$41)</f>
        <v/>
      </c>
      <c r="I32" s="45" t="str">
        <f>IF(B32&lt;'3. Lüderitz Industry'!$C$45,"",'3. Lüderitz Industry'!$C$47)</f>
        <v/>
      </c>
      <c r="J32" s="45" t="str">
        <f>IF(B32&lt;'3. Lüderitz Industry'!$C$52,"",'3. Lüderitz Industry'!$C$54)</f>
        <v/>
      </c>
      <c r="K32" s="45" t="str">
        <f>IF(B32&lt;'3. Lüderitz Industry'!$I$11,"",'3. Lüderitz Industry'!$I$13)</f>
        <v/>
      </c>
      <c r="L32" s="45">
        <f>IF(B32&lt;'3. Lüderitz Industry'!$I$17,"",'3. Lüderitz Industry'!$I$19)</f>
        <v>0</v>
      </c>
      <c r="M32" s="45">
        <f>IF(B32&lt;'3. Lüderitz Industry'!$I$23,"",'3. Lüderitz Industry'!$I$25)</f>
        <v>0</v>
      </c>
      <c r="N32" s="45">
        <f>IF(B32&lt;'3. Lüderitz Industry'!$I$29,"",'3. Lüderitz Industry'!$I$31)</f>
        <v>0</v>
      </c>
      <c r="O32" s="45" t="str">
        <f>IF(B32&lt;'3. Lüderitz Industry'!$L$12,"0",IF(B32&lt;'3. Lüderitz Industry'!$L$13,'3. Lüderitz Industry'!$Q$12,IF(B32&lt;'3. Lüderitz Industry'!$L$14,'3. Lüderitz Industry'!$Q$13,'3. Lüderitz Industry'!$Q$14)))</f>
        <v>0</v>
      </c>
      <c r="P32" s="45" t="str">
        <f>IF(B32&lt;'3. Lüderitz Industry'!$L$20,"0",IF(B32&lt;'3. Lüderitz Industry'!$L$21,'3. Lüderitz Industry'!$R$20,IF(B32&lt;'3. Lüderitz Industry'!$L$22,'3. Lüderitz Industry'!$R$21,'3. Lüderitz Industry'!$R$22)))</f>
        <v>0</v>
      </c>
      <c r="Q32" s="61">
        <f>SUM(C32:P32)</f>
        <v>409968</v>
      </c>
      <c r="R32" s="61">
        <f>Q32-SUM(O32:P32)</f>
        <v>409968</v>
      </c>
    </row>
    <row r="33" spans="2:18" x14ac:dyDescent="0.2">
      <c r="B33" s="44">
        <f>B32+1</f>
        <v>2026</v>
      </c>
      <c r="C33" s="45">
        <f>C32+(C32*'2. Control Panel - Lüderitz'!$J$15)</f>
        <v>442765.44</v>
      </c>
      <c r="E33" s="45">
        <f>IF(B33&lt;'3. Lüderitz Industry'!$C$12,"",IF(B33&lt;'3. Lüderitz Industry'!$C$16,'3. Lüderitz Industry'!$F$15,IF(B33&lt;'3. Lüderitz Industry'!$C$17,'3. Lüderitz Industry'!$F$16,'3. Lüderitz Industry'!$F$17)))</f>
        <v>109500</v>
      </c>
      <c r="F33" s="45">
        <f>IF(B33&lt;'3. Lüderitz Industry'!$C$26,"",IF(B33&lt;'3. Lüderitz Industry'!$C$27,'3. Lüderitz Industry'!$F$26,IF(B33&lt;'3. Lüderitz Industry'!$C$28,'3. Lüderitz Industry'!$F$27,'3. Lüderitz Industry'!$F$28)))</f>
        <v>159557.14285714284</v>
      </c>
      <c r="G33" s="45" t="str">
        <f>IF(B33&lt;'3. Lüderitz Industry'!$C$32,"",'3. Lüderitz Industry'!$C$34)</f>
        <v/>
      </c>
      <c r="H33" s="45" t="str">
        <f>IF(B33&lt;'3. Lüderitz Industry'!$C$38,"",'3. Lüderitz Industry'!$C$41)</f>
        <v/>
      </c>
      <c r="I33" s="45">
        <f>IF(B33&lt;'3. Lüderitz Industry'!$C$45,"",'3. Lüderitz Industry'!$C$47)</f>
        <v>15877</v>
      </c>
      <c r="J33" s="45" t="str">
        <f>IF(B33&lt;'3. Lüderitz Industry'!$C$52,"",'3. Lüderitz Industry'!$C$54)</f>
        <v/>
      </c>
      <c r="K33" s="45" t="str">
        <f>IF(B33&lt;'3. Lüderitz Industry'!$I$11,"",'3. Lüderitz Industry'!$I$13)</f>
        <v/>
      </c>
      <c r="L33" s="45">
        <f>IF(B33&lt;'3. Lüderitz Industry'!$I$17,"",'3. Lüderitz Industry'!$I$19)</f>
        <v>0</v>
      </c>
      <c r="M33" s="45">
        <f>IF(B33&lt;'3. Lüderitz Industry'!$I$23,"",'3. Lüderitz Industry'!$I$25)</f>
        <v>0</v>
      </c>
      <c r="N33" s="45">
        <f>IF(B33&lt;'3. Lüderitz Industry'!$I$29,"",'3. Lüderitz Industry'!$I$31)</f>
        <v>0</v>
      </c>
      <c r="O33" s="45" t="str">
        <f>IF(B33&lt;'3. Lüderitz Industry'!$L$12,"0",IF(B33&lt;'3. Lüderitz Industry'!$L$13,'3. Lüderitz Industry'!$Q$12,IF(B33&lt;'3. Lüderitz Industry'!$L$14,'3. Lüderitz Industry'!$Q$13,'3. Lüderitz Industry'!$Q$14)))</f>
        <v>0</v>
      </c>
      <c r="P33" s="45" t="str">
        <f>IF(B33&lt;'3. Lüderitz Industry'!$L$20,"0",IF(B33&lt;'3. Lüderitz Industry'!$L$21,'3. Lüderitz Industry'!$R$20,IF(B33&lt;'3. Lüderitz Industry'!$L$22,'3. Lüderitz Industry'!$R$21,'3. Lüderitz Industry'!$R$22)))</f>
        <v>0</v>
      </c>
      <c r="Q33" s="61">
        <f>SUM(E33:P33)+$C$32</f>
        <v>694902.14285714284</v>
      </c>
      <c r="R33" s="61">
        <f t="shared" ref="R33:R57" si="0">Q33-SUM(O33:P33)</f>
        <v>694902.14285714284</v>
      </c>
    </row>
    <row r="34" spans="2:18" x14ac:dyDescent="0.2">
      <c r="B34" s="44">
        <f t="shared" ref="B34:B55" si="1">B33+1</f>
        <v>2027</v>
      </c>
      <c r="C34" s="45">
        <f>C33+(C33*'2. Control Panel - Lüderitz'!$J$15)</f>
        <v>478186.6752</v>
      </c>
      <c r="E34" s="45">
        <f>IF(B34&lt;'3. Lüderitz Industry'!$C$12,"",IF(B34&lt;'3. Lüderitz Industry'!$C$16,'3. Lüderitz Industry'!$F$15,IF(B34&lt;'3. Lüderitz Industry'!$C$17,'3. Lüderitz Industry'!$F$16,'3. Lüderitz Industry'!$F$17)))</f>
        <v>109500</v>
      </c>
      <c r="F34" s="45">
        <f>IF(B34&lt;'3. Lüderitz Industry'!$C$26,"",IF(B34&lt;'3. Lüderitz Industry'!$C$27,'3. Lüderitz Industry'!$F$26,IF(B34&lt;'3. Lüderitz Industry'!$C$28,'3. Lüderitz Industry'!$F$27,'3. Lüderitz Industry'!$F$28)))</f>
        <v>159557.14285714284</v>
      </c>
      <c r="G34" s="45">
        <f>IF(B34&lt;'3. Lüderitz Industry'!$C$32,"",'3. Lüderitz Industry'!$C$34)</f>
        <v>0</v>
      </c>
      <c r="H34" s="45" t="str">
        <f>IF(B34&lt;'3. Lüderitz Industry'!$C$38,"",'3. Lüderitz Industry'!$C$41)</f>
        <v/>
      </c>
      <c r="I34" s="45">
        <f>IF(B34&lt;'3. Lüderitz Industry'!$C$45,"",'3. Lüderitz Industry'!$C$47)</f>
        <v>15877</v>
      </c>
      <c r="J34" s="45" t="str">
        <f>IF(B34&lt;'3. Lüderitz Industry'!$C$52,"",'3. Lüderitz Industry'!$C$54)</f>
        <v/>
      </c>
      <c r="K34" s="45" t="str">
        <f>IF(B34&lt;'3. Lüderitz Industry'!$I$11,"",'3. Lüderitz Industry'!$I$13)</f>
        <v/>
      </c>
      <c r="L34" s="45">
        <f>IF(B34&lt;'3. Lüderitz Industry'!$I$17,"",'3. Lüderitz Industry'!$I$19)</f>
        <v>0</v>
      </c>
      <c r="M34" s="45">
        <f>IF(B34&lt;'3. Lüderitz Industry'!$I$23,"",'3. Lüderitz Industry'!$I$25)</f>
        <v>0</v>
      </c>
      <c r="N34" s="45">
        <f>IF(B34&lt;'3. Lüderitz Industry'!$I$29,"",'3. Lüderitz Industry'!$I$31)</f>
        <v>0</v>
      </c>
      <c r="O34" s="45">
        <f>IF(B34&lt;'3. Lüderitz Industry'!$L$12,"",IF(B34&lt;'3. Lüderitz Industry'!$L$13,'3. Lüderitz Industry'!$Q$12,IF(B34&lt;'3. Lüderitz Industry'!$L$14,'3. Lüderitz Industry'!$Q$13,'3. Lüderitz Industry'!$Q$14)))</f>
        <v>1460000</v>
      </c>
      <c r="P34" s="45" t="str">
        <f>IF(B34&lt;'3. Lüderitz Industry'!$L$20,"0",IF(B34&lt;'3. Lüderitz Industry'!$L$21,'3. Lüderitz Industry'!$R$20,IF(B34&lt;'3. Lüderitz Industry'!$L$22,'3. Lüderitz Industry'!$R$21,'3. Lüderitz Industry'!$R$22)))</f>
        <v>0</v>
      </c>
      <c r="Q34" s="61">
        <f t="shared" ref="Q34:Q56" si="2">SUM(E34:P34)+$C$32</f>
        <v>2154902.1428571427</v>
      </c>
      <c r="R34" s="61">
        <f t="shared" si="0"/>
        <v>694902.14285714272</v>
      </c>
    </row>
    <row r="35" spans="2:18" x14ac:dyDescent="0.2">
      <c r="B35" s="44">
        <f t="shared" si="1"/>
        <v>2028</v>
      </c>
      <c r="C35" s="45">
        <f>C34+(C34*'2. Control Panel - Lüderitz'!$J$15)</f>
        <v>516441.60921600001</v>
      </c>
      <c r="E35" s="45">
        <f>IF(B35&lt;'3. Lüderitz Industry'!$C$12,"",IF(B35&lt;'3. Lüderitz Industry'!$C$16,'3. Lüderitz Industry'!$F$15,IF(B35&lt;'3. Lüderitz Industry'!$C$17,'3. Lüderitz Industry'!$F$16,'3. Lüderitz Industry'!$F$17)))</f>
        <v>109500</v>
      </c>
      <c r="F35" s="45">
        <f>IF(B35&lt;'3. Lüderitz Industry'!$C$26,"",IF(B35&lt;'3. Lüderitz Industry'!$C$27,'3. Lüderitz Industry'!$F$26,IF(B35&lt;'3. Lüderitz Industry'!$C$28,'3. Lüderitz Industry'!$F$27,'3. Lüderitz Industry'!$F$28)))</f>
        <v>159557.14285714284</v>
      </c>
      <c r="G35" s="45">
        <f>IF(B35&lt;'3. Lüderitz Industry'!$C$32,"",'3. Lüderitz Industry'!$C$34)</f>
        <v>0</v>
      </c>
      <c r="H35" s="45" t="str">
        <f>IF(B35&lt;'3. Lüderitz Industry'!$C$38,"",'3. Lüderitz Industry'!$C$41)</f>
        <v/>
      </c>
      <c r="I35" s="45">
        <f>IF(B35&lt;'3. Lüderitz Industry'!$C$45,"",'3. Lüderitz Industry'!$C$47)</f>
        <v>15877</v>
      </c>
      <c r="J35" s="45">
        <f>IF(B35&lt;'3. Lüderitz Industry'!$C$52,"",'3. Lüderitz Industry'!$C$54)</f>
        <v>0</v>
      </c>
      <c r="K35" s="45" t="str">
        <f>IF(B35&lt;'3. Lüderitz Industry'!$I$11,"",'3. Lüderitz Industry'!$I$13)</f>
        <v/>
      </c>
      <c r="L35" s="45">
        <f>IF(B35&lt;'3. Lüderitz Industry'!$I$17,"",'3. Lüderitz Industry'!$I$19)</f>
        <v>0</v>
      </c>
      <c r="M35" s="45">
        <f>IF(B35&lt;'3. Lüderitz Industry'!$I$23,"",'3. Lüderitz Industry'!$I$25)</f>
        <v>0</v>
      </c>
      <c r="N35" s="45">
        <f>IF(B35&lt;'3. Lüderitz Industry'!$I$29,"",'3. Lüderitz Industry'!$I$31)</f>
        <v>0</v>
      </c>
      <c r="O35" s="45">
        <f>IF(B35&lt;'3. Lüderitz Industry'!$L$12,"",IF(B35&lt;'3. Lüderitz Industry'!$L$13,'3. Lüderitz Industry'!$Q$12,IF(B35&lt;'3. Lüderitz Industry'!$L$14,'3. Lüderitz Industry'!$Q$13,'3. Lüderitz Industry'!$Q$14)))</f>
        <v>1460000</v>
      </c>
      <c r="P35" s="45" t="str">
        <f>IF(B35&lt;'3. Lüderitz Industry'!$L$20,"0",IF(B35&lt;'3. Lüderitz Industry'!$L$21,'3. Lüderitz Industry'!$R$20,IF(B35&lt;'3. Lüderitz Industry'!$L$22,'3. Lüderitz Industry'!$R$21,'3. Lüderitz Industry'!$R$22)))</f>
        <v>0</v>
      </c>
      <c r="Q35" s="61">
        <f t="shared" si="2"/>
        <v>2154902.1428571427</v>
      </c>
      <c r="R35" s="61">
        <f t="shared" si="0"/>
        <v>694902.14285714272</v>
      </c>
    </row>
    <row r="36" spans="2:18" x14ac:dyDescent="0.2">
      <c r="B36" s="44">
        <f t="shared" si="1"/>
        <v>2029</v>
      </c>
      <c r="C36" s="45">
        <f>C35+(C35*'2. Control Panel - Lüderitz'!$J$15)</f>
        <v>557756.93795328005</v>
      </c>
      <c r="E36" s="45">
        <f>IF(B36&lt;'3. Lüderitz Industry'!$C$12,"",IF(B36&lt;'3. Lüderitz Industry'!$C$16,'3. Lüderitz Industry'!$F$15,IF(B36&lt;'3. Lüderitz Industry'!$C$17,'3. Lüderitz Industry'!$F$16,'3. Lüderitz Industry'!$F$17)))</f>
        <v>109500</v>
      </c>
      <c r="F36" s="45">
        <f>IF(B36&lt;'3. Lüderitz Industry'!$C$26,"",IF(B36&lt;'3. Lüderitz Industry'!$C$27,'3. Lüderitz Industry'!$F$26,IF(B36&lt;'3. Lüderitz Industry'!$C$28,'3. Lüderitz Industry'!$F$27,'3. Lüderitz Industry'!$F$28)))</f>
        <v>159557.14285714284</v>
      </c>
      <c r="G36" s="45">
        <f>IF(B36&lt;'3. Lüderitz Industry'!$C$32,"",'3. Lüderitz Industry'!$C$34)</f>
        <v>0</v>
      </c>
      <c r="H36" s="45" t="str">
        <f>IF(B36&lt;'3. Lüderitz Industry'!$C$38,"",'3. Lüderitz Industry'!$C$41)</f>
        <v/>
      </c>
      <c r="I36" s="45">
        <f>IF(B36&lt;'3. Lüderitz Industry'!$C$45,"",'3. Lüderitz Industry'!$C$47)</f>
        <v>15877</v>
      </c>
      <c r="J36" s="45">
        <f>IF(B36&lt;'3. Lüderitz Industry'!$C$52,"",'3. Lüderitz Industry'!$C$54)</f>
        <v>0</v>
      </c>
      <c r="K36" s="45" t="str">
        <f>IF(B36&lt;'3. Lüderitz Industry'!$I$11,"",'3. Lüderitz Industry'!$I$13)</f>
        <v/>
      </c>
      <c r="L36" s="45">
        <f>IF(B36&lt;'3. Lüderitz Industry'!$I$17,"",'3. Lüderitz Industry'!$I$19)</f>
        <v>0</v>
      </c>
      <c r="M36" s="45">
        <f>IF(B36&lt;'3. Lüderitz Industry'!$I$23,"",'3. Lüderitz Industry'!$I$25)</f>
        <v>0</v>
      </c>
      <c r="N36" s="45">
        <f>IF(B36&lt;'3. Lüderitz Industry'!$I$29,"",'3. Lüderitz Industry'!$I$31)</f>
        <v>0</v>
      </c>
      <c r="O36" s="45">
        <f>IF(B36&lt;'3. Lüderitz Industry'!$L$12,"",IF(B36&lt;'3. Lüderitz Industry'!$L$13,'3. Lüderitz Industry'!$Q$12,IF(B36&lt;'3. Lüderitz Industry'!$L$14,'3. Lüderitz Industry'!$Q$13,'3. Lüderitz Industry'!$Q$14)))</f>
        <v>1460000</v>
      </c>
      <c r="P36" s="45" t="str">
        <f>IF(B36&lt;'3. Lüderitz Industry'!$L$20,"0",IF(B36&lt;'3. Lüderitz Industry'!$L$21,'3. Lüderitz Industry'!$R$20,IF(B36&lt;'3. Lüderitz Industry'!$L$22,'3. Lüderitz Industry'!$R$21,'3. Lüderitz Industry'!$R$22)))</f>
        <v>0</v>
      </c>
      <c r="Q36" s="61">
        <f t="shared" si="2"/>
        <v>2154902.1428571427</v>
      </c>
      <c r="R36" s="61">
        <f t="shared" si="0"/>
        <v>694902.14285714272</v>
      </c>
    </row>
    <row r="37" spans="2:18" x14ac:dyDescent="0.2">
      <c r="B37" s="44">
        <f t="shared" si="1"/>
        <v>2030</v>
      </c>
      <c r="C37" s="45">
        <f>C36+(C36*'2. Control Panel - Lüderitz'!$J$15)</f>
        <v>602377.49298954243</v>
      </c>
      <c r="E37" s="45">
        <f>IF(B37&lt;'3. Lüderitz Industry'!$C$12,"",IF(B37&lt;'3. Lüderitz Industry'!$C$16,'3. Lüderitz Industry'!$F$15,IF(B37&lt;'3. Lüderitz Industry'!$C$17,'3. Lüderitz Industry'!$F$16,'3. Lüderitz Industry'!$F$17)))</f>
        <v>109500</v>
      </c>
      <c r="F37" s="45">
        <f>IF(B37&lt;'3. Lüderitz Industry'!$C$26,"",IF(B37&lt;'3. Lüderitz Industry'!$C$27,'3. Lüderitz Industry'!$F$26,IF(B37&lt;'3. Lüderitz Industry'!$C$28,'3. Lüderitz Industry'!$F$27,'3. Lüderitz Industry'!$F$28)))</f>
        <v>159557.14285714284</v>
      </c>
      <c r="G37" s="45">
        <f>IF(B37&lt;'3. Lüderitz Industry'!$C$32,"",'3. Lüderitz Industry'!$C$34)</f>
        <v>0</v>
      </c>
      <c r="H37" s="45">
        <f>IF(B37&lt;'3. Lüderitz Industry'!$C$38,"",'3. Lüderitz Industry'!$C$41)</f>
        <v>28105</v>
      </c>
      <c r="I37" s="45">
        <f>IF(B37&lt;'3. Lüderitz Industry'!$C$45,"",'3. Lüderitz Industry'!$C$47)</f>
        <v>15877</v>
      </c>
      <c r="J37" s="45">
        <f>IF(B37&lt;'3. Lüderitz Industry'!$C$52,"",'3. Lüderitz Industry'!$C$54)</f>
        <v>0</v>
      </c>
      <c r="K37" s="45">
        <f>IF(B37&lt;'3. Lüderitz Industry'!$I$11,"",'3. Lüderitz Industry'!$I$13)</f>
        <v>0</v>
      </c>
      <c r="L37" s="45">
        <f>IF(B37&lt;'3. Lüderitz Industry'!$I$17,"",'3. Lüderitz Industry'!$I$19)</f>
        <v>0</v>
      </c>
      <c r="M37" s="45">
        <f>IF(B37&lt;'3. Lüderitz Industry'!$I$23,"",'3. Lüderitz Industry'!$I$25)</f>
        <v>0</v>
      </c>
      <c r="N37" s="45">
        <f>IF(B37&lt;'3. Lüderitz Industry'!$I$29,"",'3. Lüderitz Industry'!$I$31)</f>
        <v>0</v>
      </c>
      <c r="O37" s="45">
        <f>IF(B37&lt;'3. Lüderitz Industry'!$L$12,"",IF(B37&lt;'3. Lüderitz Industry'!$L$13,'3. Lüderitz Industry'!$Q$12,IF(B37&lt;'3. Lüderitz Industry'!$L$14,'3. Lüderitz Industry'!$Q$13,'3. Lüderitz Industry'!$Q$14)))</f>
        <v>1460000</v>
      </c>
      <c r="P37" s="45" t="str">
        <f>IF(B37&lt;'3. Lüderitz Industry'!$L$20,"0",IF(B37&lt;'3. Lüderitz Industry'!$L$21,'3. Lüderitz Industry'!$R$20,IF(B37&lt;'3. Lüderitz Industry'!$L$22,'3. Lüderitz Industry'!$R$21,'3. Lüderitz Industry'!$R$22)))</f>
        <v>0</v>
      </c>
      <c r="Q37" s="61">
        <f t="shared" si="2"/>
        <v>2183007.1428571427</v>
      </c>
      <c r="R37" s="61">
        <f t="shared" si="0"/>
        <v>723007.14285714272</v>
      </c>
    </row>
    <row r="38" spans="2:18" x14ac:dyDescent="0.2">
      <c r="B38" s="44">
        <f t="shared" si="1"/>
        <v>2031</v>
      </c>
      <c r="C38" s="45">
        <f>C37+(C37*'2. Control Panel - Lüderitz'!$J$15)</f>
        <v>650567.69242870586</v>
      </c>
      <c r="E38" s="45">
        <f>IF(B38&lt;'3. Lüderitz Industry'!$C$12,"",IF(B38&lt;'3. Lüderitz Industry'!$C$16,'3. Lüderitz Industry'!$F$15,IF(B38&lt;'3. Lüderitz Industry'!$C$17,'3. Lüderitz Industry'!$F$16,'3. Lüderitz Industry'!$F$17)))</f>
        <v>219000</v>
      </c>
      <c r="F38" s="45">
        <f>IF(B38&lt;'3. Lüderitz Industry'!$C$26,"",IF(B38&lt;'3. Lüderitz Industry'!$C$27,'3. Lüderitz Industry'!$F$26,IF(B38&lt;'3. Lüderitz Industry'!$C$28,'3. Lüderitz Industry'!$F$27,'3. Lüderitz Industry'!$F$28)))</f>
        <v>319114.28571428568</v>
      </c>
      <c r="G38" s="45">
        <f>IF(B38&lt;'3. Lüderitz Industry'!$C$32,"",'3. Lüderitz Industry'!$C$34)</f>
        <v>0</v>
      </c>
      <c r="H38" s="45">
        <f>IF(B38&lt;'3. Lüderitz Industry'!$C$38,"",'3. Lüderitz Industry'!$C$41)</f>
        <v>28105</v>
      </c>
      <c r="I38" s="45">
        <f>IF(B38&lt;'3. Lüderitz Industry'!$C$45,"",'3. Lüderitz Industry'!$C$47)</f>
        <v>15877</v>
      </c>
      <c r="J38" s="45">
        <f>IF(B38&lt;'3. Lüderitz Industry'!$C$52,"",'3. Lüderitz Industry'!$C$54)</f>
        <v>0</v>
      </c>
      <c r="K38" s="45">
        <f>IF(B38&lt;'3. Lüderitz Industry'!$I$11,"",'3. Lüderitz Industry'!$I$13)</f>
        <v>0</v>
      </c>
      <c r="L38" s="45">
        <f>IF(B38&lt;'3. Lüderitz Industry'!$I$17,"",'3. Lüderitz Industry'!$I$19)</f>
        <v>0</v>
      </c>
      <c r="M38" s="45">
        <f>IF(B38&lt;'3. Lüderitz Industry'!$I$23,"",'3. Lüderitz Industry'!$I$25)</f>
        <v>0</v>
      </c>
      <c r="N38" s="45">
        <f>IF(B38&lt;'3. Lüderitz Industry'!$I$29,"",'3. Lüderitz Industry'!$I$31)</f>
        <v>0</v>
      </c>
      <c r="O38" s="45">
        <f>IF(B38&lt;'3. Lüderitz Industry'!$L$12,"",IF(B38&lt;'3. Lüderitz Industry'!$L$13,'3. Lüderitz Industry'!$Q$12,IF(B38&lt;'3. Lüderitz Industry'!$L$14,'3. Lüderitz Industry'!$Q$13,'3. Lüderitz Industry'!$Q$14)))</f>
        <v>10585000</v>
      </c>
      <c r="P38" s="45" t="str">
        <f>IF(B38&lt;'3. Lüderitz Industry'!$L$20,"0",IF(B38&lt;'3. Lüderitz Industry'!$L$21,'3. Lüderitz Industry'!$R$20,IF(B38&lt;'3. Lüderitz Industry'!$L$22,'3. Lüderitz Industry'!$R$21,'3. Lüderitz Industry'!$R$22)))</f>
        <v>0</v>
      </c>
      <c r="Q38" s="61">
        <f t="shared" si="2"/>
        <v>11577064.285714285</v>
      </c>
      <c r="R38" s="61">
        <f t="shared" si="0"/>
        <v>992064.28571428545</v>
      </c>
    </row>
    <row r="39" spans="2:18" x14ac:dyDescent="0.2">
      <c r="B39" s="44">
        <f t="shared" si="1"/>
        <v>2032</v>
      </c>
      <c r="C39" s="45">
        <f>C38+(C38*'2. Control Panel - Lüderitz'!$J$15)</f>
        <v>702613.10782300238</v>
      </c>
      <c r="E39" s="45">
        <f>IF(B39&lt;'3. Lüderitz Industry'!$C$12,"",IF(B39&lt;'3. Lüderitz Industry'!$C$16,'3. Lüderitz Industry'!$F$15,IF(B39&lt;'3. Lüderitz Industry'!$C$17,'3. Lüderitz Industry'!$F$16,'3. Lüderitz Industry'!$F$17)))</f>
        <v>219000</v>
      </c>
      <c r="F39" s="45">
        <f>IF(B39&lt;'3. Lüderitz Industry'!$C$26,"",IF(B39&lt;'3. Lüderitz Industry'!$C$27,'3. Lüderitz Industry'!$F$26,IF(B39&lt;'3. Lüderitz Industry'!$C$28,'3. Lüderitz Industry'!$F$27,'3. Lüderitz Industry'!$F$28)))</f>
        <v>319114.28571428568</v>
      </c>
      <c r="G39" s="45">
        <f>IF(B39&lt;'3. Lüderitz Industry'!$C$32,"",'3. Lüderitz Industry'!$C$34)</f>
        <v>0</v>
      </c>
      <c r="H39" s="45">
        <f>IF(B39&lt;'3. Lüderitz Industry'!$C$38,"",'3. Lüderitz Industry'!$C$41)</f>
        <v>28105</v>
      </c>
      <c r="I39" s="45">
        <f>IF(B39&lt;'3. Lüderitz Industry'!$C$45,"",'3. Lüderitz Industry'!$C$47)</f>
        <v>15877</v>
      </c>
      <c r="J39" s="45">
        <f>IF(B39&lt;'3. Lüderitz Industry'!$C$52,"",'3. Lüderitz Industry'!$C$54)</f>
        <v>0</v>
      </c>
      <c r="K39" s="45">
        <f>IF(B39&lt;'3. Lüderitz Industry'!$I$11,"",'3. Lüderitz Industry'!$I$13)</f>
        <v>0</v>
      </c>
      <c r="L39" s="45">
        <f>IF(B39&lt;'3. Lüderitz Industry'!$I$17,"",'3. Lüderitz Industry'!$I$19)</f>
        <v>0</v>
      </c>
      <c r="M39" s="45">
        <f>IF(B39&lt;'3. Lüderitz Industry'!$I$23,"",'3. Lüderitz Industry'!$I$25)</f>
        <v>0</v>
      </c>
      <c r="N39" s="45">
        <f>IF(B39&lt;'3. Lüderitz Industry'!$I$29,"",'3. Lüderitz Industry'!$I$31)</f>
        <v>0</v>
      </c>
      <c r="O39" s="45">
        <f>IF(B39&lt;'3. Lüderitz Industry'!$L$12,"",IF(B39&lt;'3. Lüderitz Industry'!$L$13,'3. Lüderitz Industry'!$Q$12,IF(B39&lt;'3. Lüderitz Industry'!$L$14,'3. Lüderitz Industry'!$Q$13,'3. Lüderitz Industry'!$Q$14)))</f>
        <v>10585000</v>
      </c>
      <c r="P39" s="45" t="str">
        <f>IF(B39&lt;'3. Lüderitz Industry'!$L$20,"0",IF(B39&lt;'3. Lüderitz Industry'!$L$21,'3. Lüderitz Industry'!$R$20,IF(B39&lt;'3. Lüderitz Industry'!$L$22,'3. Lüderitz Industry'!$R$21,'3. Lüderitz Industry'!$R$22)))</f>
        <v>0</v>
      </c>
      <c r="Q39" s="61">
        <f t="shared" si="2"/>
        <v>11577064.285714285</v>
      </c>
      <c r="R39" s="61">
        <f t="shared" si="0"/>
        <v>992064.28571428545</v>
      </c>
    </row>
    <row r="40" spans="2:18" x14ac:dyDescent="0.2">
      <c r="B40" s="44">
        <f t="shared" si="1"/>
        <v>2033</v>
      </c>
      <c r="C40" s="45">
        <f>C39+(C39*'2. Control Panel - Lüderitz'!$J$15)</f>
        <v>758822.15644884261</v>
      </c>
      <c r="E40" s="45">
        <f>IF(B40&lt;'3. Lüderitz Industry'!$C$12,"",IF(B40&lt;'3. Lüderitz Industry'!$C$16,'3. Lüderitz Industry'!$F$15,IF(B40&lt;'3. Lüderitz Industry'!$C$17,'3. Lüderitz Industry'!$F$16,'3. Lüderitz Industry'!$F$17)))</f>
        <v>219000</v>
      </c>
      <c r="F40" s="45">
        <f>IF(B40&lt;'3. Lüderitz Industry'!$C$26,"",IF(B40&lt;'3. Lüderitz Industry'!$C$27,'3. Lüderitz Industry'!$F$26,IF(B40&lt;'3. Lüderitz Industry'!$C$28,'3. Lüderitz Industry'!$F$27,'3. Lüderitz Industry'!$F$28)))</f>
        <v>319114.28571428568</v>
      </c>
      <c r="G40" s="45">
        <f>IF(B40&lt;'3. Lüderitz Industry'!$C$32,"",'3. Lüderitz Industry'!$C$34)</f>
        <v>0</v>
      </c>
      <c r="H40" s="45">
        <f>IF(B40&lt;'3. Lüderitz Industry'!$C$38,"",'3. Lüderitz Industry'!$C$41)</f>
        <v>28105</v>
      </c>
      <c r="I40" s="45">
        <f>IF(B40&lt;'3. Lüderitz Industry'!$C$45,"",'3. Lüderitz Industry'!$C$47)</f>
        <v>15877</v>
      </c>
      <c r="J40" s="45">
        <f>IF(B40&lt;'3. Lüderitz Industry'!$C$52,"",'3. Lüderitz Industry'!$C$54)</f>
        <v>0</v>
      </c>
      <c r="K40" s="45">
        <f>IF(B40&lt;'3. Lüderitz Industry'!$I$11,"",'3. Lüderitz Industry'!$I$13)</f>
        <v>0</v>
      </c>
      <c r="L40" s="45">
        <f>IF(B40&lt;'3. Lüderitz Industry'!$I$17,"",'3. Lüderitz Industry'!$I$19)</f>
        <v>0</v>
      </c>
      <c r="M40" s="45">
        <f>IF(B40&lt;'3. Lüderitz Industry'!$I$23,"",'3. Lüderitz Industry'!$I$25)</f>
        <v>0</v>
      </c>
      <c r="N40" s="45">
        <f>IF(B40&lt;'3. Lüderitz Industry'!$I$29,"",'3. Lüderitz Industry'!$I$31)</f>
        <v>0</v>
      </c>
      <c r="O40" s="45">
        <f>IF(B40&lt;'3. Lüderitz Industry'!$L$12,"",IF(B40&lt;'3. Lüderitz Industry'!$L$13,'3. Lüderitz Industry'!$Q$12,IF(B40&lt;'3. Lüderitz Industry'!$L$14,'3. Lüderitz Industry'!$Q$13,'3. Lüderitz Industry'!$Q$14)))</f>
        <v>10585000</v>
      </c>
      <c r="P40" s="45" t="str">
        <f>IF(B40&lt;'3. Lüderitz Industry'!$L$20,"0",IF(B40&lt;'3. Lüderitz Industry'!$L$21,'3. Lüderitz Industry'!$R$20,IF(B40&lt;'3. Lüderitz Industry'!$L$22,'3. Lüderitz Industry'!$R$21,'3. Lüderitz Industry'!$R$22)))</f>
        <v>0</v>
      </c>
      <c r="Q40" s="61">
        <f t="shared" si="2"/>
        <v>11577064.285714285</v>
      </c>
      <c r="R40" s="61">
        <f t="shared" si="0"/>
        <v>992064.28571428545</v>
      </c>
    </row>
    <row r="41" spans="2:18" x14ac:dyDescent="0.2">
      <c r="B41" s="44">
        <f t="shared" si="1"/>
        <v>2034</v>
      </c>
      <c r="C41" s="45">
        <f>C40+(C40*'2. Control Panel - Lüderitz'!$J$15)</f>
        <v>819527.92896475003</v>
      </c>
      <c r="E41" s="45">
        <f>IF(B41&lt;'3. Lüderitz Industry'!$C$12,"",IF(B41&lt;'3. Lüderitz Industry'!$C$16,'3. Lüderitz Industry'!$F$15,IF(B41&lt;'3. Lüderitz Industry'!$C$17,'3. Lüderitz Industry'!$F$16,'3. Lüderitz Industry'!$F$17)))</f>
        <v>328500</v>
      </c>
      <c r="F41" s="45">
        <f>IF(B41&lt;'3. Lüderitz Industry'!$C$26,"",IF(B41&lt;'3. Lüderitz Industry'!$C$27,'3. Lüderitz Industry'!$F$26,IF(B41&lt;'3. Lüderitz Industry'!$C$28,'3. Lüderitz Industry'!$F$27,'3. Lüderitz Industry'!$F$28)))</f>
        <v>478671.42857142852</v>
      </c>
      <c r="G41" s="45">
        <f>IF(B41&lt;'3. Lüderitz Industry'!$C$32,"",'3. Lüderitz Industry'!$C$34)</f>
        <v>0</v>
      </c>
      <c r="H41" s="45">
        <f>IF(B41&lt;'3. Lüderitz Industry'!$C$38,"",'3. Lüderitz Industry'!$C$41)</f>
        <v>28105</v>
      </c>
      <c r="I41" s="45">
        <f>IF(B41&lt;'3. Lüderitz Industry'!$C$45,"",'3. Lüderitz Industry'!$C$47)</f>
        <v>15877</v>
      </c>
      <c r="J41" s="45">
        <f>IF(B41&lt;'3. Lüderitz Industry'!$C$52,"",'3. Lüderitz Industry'!$C$54)</f>
        <v>0</v>
      </c>
      <c r="K41" s="45">
        <f>IF(B41&lt;'3. Lüderitz Industry'!$I$11,"",'3. Lüderitz Industry'!$I$13)</f>
        <v>0</v>
      </c>
      <c r="L41" s="45">
        <f>IF(B41&lt;'3. Lüderitz Industry'!$I$17,"",'3. Lüderitz Industry'!$I$19)</f>
        <v>0</v>
      </c>
      <c r="M41" s="45">
        <f>IF(B41&lt;'3. Lüderitz Industry'!$I$23,"",'3. Lüderitz Industry'!$I$25)</f>
        <v>0</v>
      </c>
      <c r="N41" s="45">
        <f>IF(B41&lt;'3. Lüderitz Industry'!$I$29,"",'3. Lüderitz Industry'!$I$31)</f>
        <v>0</v>
      </c>
      <c r="O41" s="45">
        <f>IF(B41&lt;'3. Lüderitz Industry'!$L$12,"",IF(B41&lt;'3. Lüderitz Industry'!$L$13,'3. Lüderitz Industry'!$Q$12,IF(B41&lt;'3. Lüderitz Industry'!$L$14,'3. Lüderitz Industry'!$Q$13,'3. Lüderitz Industry'!$Q$14)))</f>
        <v>18250000</v>
      </c>
      <c r="P41" s="45" t="str">
        <f>IF(B41&lt;'3. Lüderitz Industry'!$L$20,"0",IF(B41&lt;'3. Lüderitz Industry'!$L$21,'3. Lüderitz Industry'!$R$20,IF(B41&lt;'3. Lüderitz Industry'!$L$22,'3. Lüderitz Industry'!$R$21,'3. Lüderitz Industry'!$R$22)))</f>
        <v>0</v>
      </c>
      <c r="Q41" s="61">
        <f t="shared" si="2"/>
        <v>19511121.428571429</v>
      </c>
      <c r="R41" s="61">
        <f t="shared" si="0"/>
        <v>1261121.4285714291</v>
      </c>
    </row>
    <row r="42" spans="2:18" x14ac:dyDescent="0.2">
      <c r="B42" s="44">
        <f t="shared" si="1"/>
        <v>2035</v>
      </c>
      <c r="C42" s="45">
        <f>C41+(C41*'2. Control Panel - Lüderitz'!$J$15)</f>
        <v>885090.16328193003</v>
      </c>
      <c r="E42" s="45">
        <f>IF(B42&lt;'3. Lüderitz Industry'!$C$12,"",IF(B42&lt;'3. Lüderitz Industry'!$C$16,'3. Lüderitz Industry'!$F$15,IF(B42&lt;'3. Lüderitz Industry'!$C$17,'3. Lüderitz Industry'!$F$16,'3. Lüderitz Industry'!$F$17)))</f>
        <v>328500</v>
      </c>
      <c r="F42" s="45">
        <f>IF(B42&lt;'3. Lüderitz Industry'!$C$26,"",IF(B42&lt;'3. Lüderitz Industry'!$C$27,'3. Lüderitz Industry'!$F$26,IF(B42&lt;'3. Lüderitz Industry'!$C$28,'3. Lüderitz Industry'!$F$27,'3. Lüderitz Industry'!$F$28)))</f>
        <v>478671.42857142852</v>
      </c>
      <c r="G42" s="45">
        <f>IF(B42&lt;'3. Lüderitz Industry'!$C$32,"",'3. Lüderitz Industry'!$C$34)</f>
        <v>0</v>
      </c>
      <c r="H42" s="45">
        <f>IF(B42&lt;'3. Lüderitz Industry'!$C$38,"",'3. Lüderitz Industry'!$C$41)</f>
        <v>28105</v>
      </c>
      <c r="I42" s="45">
        <f>IF(B42&lt;'3. Lüderitz Industry'!$C$45,"",'3. Lüderitz Industry'!$C$47)</f>
        <v>15877</v>
      </c>
      <c r="J42" s="45">
        <f>IF(B42&lt;'3. Lüderitz Industry'!$C$52,"",'3. Lüderitz Industry'!$C$54)</f>
        <v>0</v>
      </c>
      <c r="K42" s="45">
        <f>IF(B42&lt;'3. Lüderitz Industry'!$I$11,"",'3. Lüderitz Industry'!$I$13)</f>
        <v>0</v>
      </c>
      <c r="L42" s="45">
        <f>IF(B42&lt;'3. Lüderitz Industry'!$I$17,"",'3. Lüderitz Industry'!$I$19)</f>
        <v>0</v>
      </c>
      <c r="M42" s="45">
        <f>IF(B42&lt;'3. Lüderitz Industry'!$I$23,"",'3. Lüderitz Industry'!$I$25)</f>
        <v>0</v>
      </c>
      <c r="N42" s="45">
        <f>IF(B42&lt;'3. Lüderitz Industry'!$I$29,"",'3. Lüderitz Industry'!$I$31)</f>
        <v>0</v>
      </c>
      <c r="O42" s="45">
        <f>IF(B42&lt;'3. Lüderitz Industry'!$L$12,"",IF(B42&lt;'3. Lüderitz Industry'!$L$13,'3. Lüderitz Industry'!$Q$12,IF(B42&lt;'3. Lüderitz Industry'!$L$14,'3. Lüderitz Industry'!$Q$13,'3. Lüderitz Industry'!$Q$14)))</f>
        <v>18250000</v>
      </c>
      <c r="P42" s="45">
        <f>IF(B42&lt;'3. Lüderitz Industry'!$L$20,"0",IF(B42&lt;'3. Lüderitz Industry'!$L$21,'3. Lüderitz Industry'!$R$20,IF(B42&lt;'3. Lüderitz Industry'!$L$22,'3. Lüderitz Industry'!$R$21,'3. Lüderitz Industry'!$R$22)))</f>
        <v>1460000</v>
      </c>
      <c r="Q42" s="61">
        <f t="shared" si="2"/>
        <v>20971121.428571429</v>
      </c>
      <c r="R42" s="61">
        <f t="shared" si="0"/>
        <v>1261121.4285714291</v>
      </c>
    </row>
    <row r="43" spans="2:18" x14ac:dyDescent="0.2">
      <c r="B43" s="44">
        <f t="shared" si="1"/>
        <v>2036</v>
      </c>
      <c r="C43" s="45">
        <f>C42+(C42*'2. Control Panel - Lüderitz'!$J$15)</f>
        <v>955897.37634448439</v>
      </c>
      <c r="E43" s="45">
        <f>IF(B43&lt;'3. Lüderitz Industry'!$C$12,"",IF(B43&lt;'3. Lüderitz Industry'!$C$16,'3. Lüderitz Industry'!$F$15,IF(B43&lt;'3. Lüderitz Industry'!$C$17,'3. Lüderitz Industry'!$F$16,'3. Lüderitz Industry'!$F$17)))</f>
        <v>328500</v>
      </c>
      <c r="F43" s="45">
        <f>IF(B43&lt;'3. Lüderitz Industry'!$C$26,"",IF(B43&lt;'3. Lüderitz Industry'!$C$27,'3. Lüderitz Industry'!$F$26,IF(B43&lt;'3. Lüderitz Industry'!$C$28,'3. Lüderitz Industry'!$F$27,'3. Lüderitz Industry'!$F$28)))</f>
        <v>478671.42857142852</v>
      </c>
      <c r="G43" s="45">
        <f>IF(B43&lt;'3. Lüderitz Industry'!$C$32,"",'3. Lüderitz Industry'!$C$34)</f>
        <v>0</v>
      </c>
      <c r="H43" s="45">
        <f>IF(B43&lt;'3. Lüderitz Industry'!$C$38,"",'3. Lüderitz Industry'!$C$41)</f>
        <v>28105</v>
      </c>
      <c r="I43" s="45">
        <f>IF(B43&lt;'3. Lüderitz Industry'!$C$45,"",'3. Lüderitz Industry'!$C$47)</f>
        <v>15877</v>
      </c>
      <c r="J43" s="45">
        <f>IF(B43&lt;'3. Lüderitz Industry'!$C$52,"",'3. Lüderitz Industry'!$C$54)</f>
        <v>0</v>
      </c>
      <c r="K43" s="45">
        <f>IF(B43&lt;'3. Lüderitz Industry'!$I$11,"",'3. Lüderitz Industry'!$I$13)</f>
        <v>0</v>
      </c>
      <c r="L43" s="45">
        <f>IF(B43&lt;'3. Lüderitz Industry'!$I$17,"",'3. Lüderitz Industry'!$I$19)</f>
        <v>0</v>
      </c>
      <c r="M43" s="45">
        <f>IF(B43&lt;'3. Lüderitz Industry'!$I$23,"",'3. Lüderitz Industry'!$I$25)</f>
        <v>0</v>
      </c>
      <c r="N43" s="45">
        <f>IF(B43&lt;'3. Lüderitz Industry'!$I$29,"",'3. Lüderitz Industry'!$I$31)</f>
        <v>0</v>
      </c>
      <c r="O43" s="45">
        <f>IF(B43&lt;'3. Lüderitz Industry'!$L$12,"",IF(B43&lt;'3. Lüderitz Industry'!$L$13,'3. Lüderitz Industry'!$Q$12,IF(B43&lt;'3. Lüderitz Industry'!$L$14,'3. Lüderitz Industry'!$Q$13,'3. Lüderitz Industry'!$Q$14)))</f>
        <v>18250000</v>
      </c>
      <c r="P43" s="45">
        <f>IF(B43&lt;'3. Lüderitz Industry'!$L$20,"0",IF(B43&lt;'3. Lüderitz Industry'!$L$21,'3. Lüderitz Industry'!$R$20,IF(B43&lt;'3. Lüderitz Industry'!$L$22,'3. Lüderitz Industry'!$R$21,'3. Lüderitz Industry'!$R$22)))</f>
        <v>1460000</v>
      </c>
      <c r="Q43" s="61">
        <f t="shared" si="2"/>
        <v>20971121.428571429</v>
      </c>
      <c r="R43" s="61">
        <f t="shared" si="0"/>
        <v>1261121.4285714291</v>
      </c>
    </row>
    <row r="44" spans="2:18" x14ac:dyDescent="0.2">
      <c r="B44" s="44">
        <f t="shared" si="1"/>
        <v>2037</v>
      </c>
      <c r="C44" s="45">
        <f>C43+(C43*'2. Control Panel - Lüderitz'!$J$15)</f>
        <v>1032369.1664520431</v>
      </c>
      <c r="E44" s="45">
        <f>IF(B44&lt;'3. Lüderitz Industry'!$C$12,"",IF(B44&lt;'3. Lüderitz Industry'!$C$16,'3. Lüderitz Industry'!$F$15,IF(B44&lt;'3. Lüderitz Industry'!$C$17,'3. Lüderitz Industry'!$F$16,'3. Lüderitz Industry'!$F$17)))</f>
        <v>328500</v>
      </c>
      <c r="F44" s="45">
        <f>IF(B44&lt;'3. Lüderitz Industry'!$C$26,"",IF(B44&lt;'3. Lüderitz Industry'!$C$27,'3. Lüderitz Industry'!$F$26,IF(B44&lt;'3. Lüderitz Industry'!$C$28,'3. Lüderitz Industry'!$F$27,'3. Lüderitz Industry'!$F$28)))</f>
        <v>478671.42857142852</v>
      </c>
      <c r="G44" s="45">
        <f>IF(B44&lt;'3. Lüderitz Industry'!$C$32,"",'3. Lüderitz Industry'!$C$34)</f>
        <v>0</v>
      </c>
      <c r="H44" s="45">
        <f>IF(B44&lt;'3. Lüderitz Industry'!$C$38,"",'3. Lüderitz Industry'!$C$41)</f>
        <v>28105</v>
      </c>
      <c r="I44" s="45">
        <f>IF(B44&lt;'3. Lüderitz Industry'!$C$45,"",'3. Lüderitz Industry'!$C$47)</f>
        <v>15877</v>
      </c>
      <c r="J44" s="45">
        <f>IF(B44&lt;'3. Lüderitz Industry'!$C$52,"",'3. Lüderitz Industry'!$C$54)</f>
        <v>0</v>
      </c>
      <c r="K44" s="45">
        <f>IF(B44&lt;'3. Lüderitz Industry'!$I$11,"",'3. Lüderitz Industry'!$I$13)</f>
        <v>0</v>
      </c>
      <c r="L44" s="45">
        <f>IF(B44&lt;'3. Lüderitz Industry'!$I$17,"",'3. Lüderitz Industry'!$I$19)</f>
        <v>0</v>
      </c>
      <c r="M44" s="45">
        <f>IF(B44&lt;'3. Lüderitz Industry'!$I$23,"",'3. Lüderitz Industry'!$I$25)</f>
        <v>0</v>
      </c>
      <c r="N44" s="45">
        <f>IF(B44&lt;'3. Lüderitz Industry'!$I$29,"",'3. Lüderitz Industry'!$I$31)</f>
        <v>0</v>
      </c>
      <c r="O44" s="45">
        <f>IF(B44&lt;'3. Lüderitz Industry'!$L$12,"",IF(B44&lt;'3. Lüderitz Industry'!$L$13,'3. Lüderitz Industry'!$Q$12,IF(B44&lt;'3. Lüderitz Industry'!$L$14,'3. Lüderitz Industry'!$Q$13,'3. Lüderitz Industry'!$Q$14)))</f>
        <v>18250000</v>
      </c>
      <c r="P44" s="45">
        <f>IF(B44&lt;'3. Lüderitz Industry'!$L$20,"0",IF(B44&lt;'3. Lüderitz Industry'!$L$21,'3. Lüderitz Industry'!$R$20,IF(B44&lt;'3. Lüderitz Industry'!$L$22,'3. Lüderitz Industry'!$R$21,'3. Lüderitz Industry'!$R$22)))</f>
        <v>1460000</v>
      </c>
      <c r="Q44" s="61">
        <f t="shared" si="2"/>
        <v>20971121.428571429</v>
      </c>
      <c r="R44" s="61">
        <f t="shared" si="0"/>
        <v>1261121.4285714291</v>
      </c>
    </row>
    <row r="45" spans="2:18" x14ac:dyDescent="0.2">
      <c r="B45" s="44">
        <f t="shared" si="1"/>
        <v>2038</v>
      </c>
      <c r="C45" s="45">
        <f>C44+(C44*'2. Control Panel - Lüderitz'!$J$15)</f>
        <v>1114958.6997682066</v>
      </c>
      <c r="E45" s="45">
        <f>IF(B45&lt;'3. Lüderitz Industry'!$C$12,"",IF(B45&lt;'3. Lüderitz Industry'!$C$16,'3. Lüderitz Industry'!$F$15,IF(B45&lt;'3. Lüderitz Industry'!$C$17,'3. Lüderitz Industry'!$F$16,'3. Lüderitz Industry'!$F$17)))</f>
        <v>328500</v>
      </c>
      <c r="F45" s="45">
        <f>IF(B45&lt;'3. Lüderitz Industry'!$C$26,"",IF(B45&lt;'3. Lüderitz Industry'!$C$27,'3. Lüderitz Industry'!$F$26,IF(B45&lt;'3. Lüderitz Industry'!$C$28,'3. Lüderitz Industry'!$F$27,'3. Lüderitz Industry'!$F$28)))</f>
        <v>478671.42857142852</v>
      </c>
      <c r="G45" s="45">
        <f>IF(B45&lt;'3. Lüderitz Industry'!$C$32,"",'3. Lüderitz Industry'!$C$34)</f>
        <v>0</v>
      </c>
      <c r="H45" s="45">
        <f>IF(B45&lt;'3. Lüderitz Industry'!$C$38,"",'3. Lüderitz Industry'!$C$41)</f>
        <v>28105</v>
      </c>
      <c r="I45" s="45">
        <f>IF(B45&lt;'3. Lüderitz Industry'!$C$45,"",'3. Lüderitz Industry'!$C$47)</f>
        <v>15877</v>
      </c>
      <c r="J45" s="45">
        <f>IF(B45&lt;'3. Lüderitz Industry'!$C$52,"",'3. Lüderitz Industry'!$C$54)</f>
        <v>0</v>
      </c>
      <c r="K45" s="45">
        <f>IF(B45&lt;'3. Lüderitz Industry'!$I$11,"",'3. Lüderitz Industry'!$I$13)</f>
        <v>0</v>
      </c>
      <c r="L45" s="45">
        <f>IF(B45&lt;'3. Lüderitz Industry'!$I$17,"",'3. Lüderitz Industry'!$I$19)</f>
        <v>0</v>
      </c>
      <c r="M45" s="45">
        <f>IF(B45&lt;'3. Lüderitz Industry'!$I$23,"",'3. Lüderitz Industry'!$I$25)</f>
        <v>0</v>
      </c>
      <c r="N45" s="45">
        <f>IF(B45&lt;'3. Lüderitz Industry'!$I$29,"",'3. Lüderitz Industry'!$I$31)</f>
        <v>0</v>
      </c>
      <c r="O45" s="45">
        <f>IF(B45&lt;'3. Lüderitz Industry'!$L$12,"",IF(B45&lt;'3. Lüderitz Industry'!$L$13,'3. Lüderitz Industry'!$Q$12,IF(B45&lt;'3. Lüderitz Industry'!$L$14,'3. Lüderitz Industry'!$Q$13,'3. Lüderitz Industry'!$Q$14)))</f>
        <v>18250000</v>
      </c>
      <c r="P45" s="45">
        <f>IF(B45&lt;'3. Lüderitz Industry'!$L$20,"0",IF(B45&lt;'3. Lüderitz Industry'!$L$21,'3. Lüderitz Industry'!$R$20,IF(B45&lt;'3. Lüderitz Industry'!$L$22,'3. Lüderitz Industry'!$R$21,'3. Lüderitz Industry'!$R$22)))</f>
        <v>1460000</v>
      </c>
      <c r="Q45" s="61">
        <f t="shared" si="2"/>
        <v>20971121.428571429</v>
      </c>
      <c r="R45" s="61">
        <f t="shared" si="0"/>
        <v>1261121.4285714291</v>
      </c>
    </row>
    <row r="46" spans="2:18" x14ac:dyDescent="0.2">
      <c r="B46" s="44">
        <f t="shared" si="1"/>
        <v>2039</v>
      </c>
      <c r="C46" s="45">
        <f>C45+(C45*'2. Control Panel - Lüderitz'!$J$15)</f>
        <v>1204155.395749663</v>
      </c>
      <c r="E46" s="45">
        <f>IF(B46&lt;'3. Lüderitz Industry'!$C$12,"",IF(B46&lt;'3. Lüderitz Industry'!$C$16,'3. Lüderitz Industry'!$F$15,IF(B46&lt;'3. Lüderitz Industry'!$C$17,'3. Lüderitz Industry'!$F$16,'3. Lüderitz Industry'!$F$17)))</f>
        <v>328500</v>
      </c>
      <c r="F46" s="45">
        <f>IF(B46&lt;'3. Lüderitz Industry'!$C$26,"",IF(B46&lt;'3. Lüderitz Industry'!$C$27,'3. Lüderitz Industry'!$F$26,IF(B46&lt;'3. Lüderitz Industry'!$C$28,'3. Lüderitz Industry'!$F$27,'3. Lüderitz Industry'!$F$28)))</f>
        <v>478671.42857142852</v>
      </c>
      <c r="G46" s="45">
        <f>IF(B46&lt;'3. Lüderitz Industry'!$C$32,"",'3. Lüderitz Industry'!$C$34)</f>
        <v>0</v>
      </c>
      <c r="H46" s="45">
        <f>IF(B46&lt;'3. Lüderitz Industry'!$C$38,"",'3. Lüderitz Industry'!$C$41)</f>
        <v>28105</v>
      </c>
      <c r="I46" s="45">
        <f>IF(B46&lt;'3. Lüderitz Industry'!$C$45,"",'3. Lüderitz Industry'!$C$47)</f>
        <v>15877</v>
      </c>
      <c r="J46" s="45">
        <f>IF(B46&lt;'3. Lüderitz Industry'!$C$52,"",'3. Lüderitz Industry'!$C$54)</f>
        <v>0</v>
      </c>
      <c r="K46" s="45">
        <f>IF(B46&lt;'3. Lüderitz Industry'!$I$11,"",'3. Lüderitz Industry'!$I$13)</f>
        <v>0</v>
      </c>
      <c r="L46" s="45">
        <f>IF(B46&lt;'3. Lüderitz Industry'!$I$17,"",'3. Lüderitz Industry'!$I$19)</f>
        <v>0</v>
      </c>
      <c r="M46" s="45">
        <f>IF(B46&lt;'3. Lüderitz Industry'!$I$23,"",'3. Lüderitz Industry'!$I$25)</f>
        <v>0</v>
      </c>
      <c r="N46" s="45">
        <f>IF(B46&lt;'3. Lüderitz Industry'!$I$29,"",'3. Lüderitz Industry'!$I$31)</f>
        <v>0</v>
      </c>
      <c r="O46" s="45">
        <f>IF(B46&lt;'3. Lüderitz Industry'!$L$12,"",IF(B46&lt;'3. Lüderitz Industry'!$L$13,'3. Lüderitz Industry'!$Q$12,IF(B46&lt;'3. Lüderitz Industry'!$L$14,'3. Lüderitz Industry'!$Q$13,'3. Lüderitz Industry'!$Q$14)))</f>
        <v>18250000</v>
      </c>
      <c r="P46" s="45">
        <f>IF(B46&lt;'3. Lüderitz Industry'!$L$20,"0",IF(B46&lt;'3. Lüderitz Industry'!$L$21,'3. Lüderitz Industry'!$R$20,IF(B46&lt;'3. Lüderitz Industry'!$L$22,'3. Lüderitz Industry'!$R$21,'3. Lüderitz Industry'!$R$22)))</f>
        <v>10585000</v>
      </c>
      <c r="Q46" s="61">
        <f t="shared" si="2"/>
        <v>30096121.428571429</v>
      </c>
      <c r="R46" s="61">
        <f t="shared" si="0"/>
        <v>1261121.4285714291</v>
      </c>
    </row>
    <row r="47" spans="2:18" x14ac:dyDescent="0.2">
      <c r="B47" s="44">
        <f t="shared" si="1"/>
        <v>2040</v>
      </c>
      <c r="C47" s="45">
        <f>C46+(C46*'2. Control Panel - Lüderitz'!$J$15)</f>
        <v>1300487.827409636</v>
      </c>
      <c r="E47" s="45">
        <f>IF(B47&lt;'3. Lüderitz Industry'!$C$12,"",IF(B47&lt;'3. Lüderitz Industry'!$C$16,'3. Lüderitz Industry'!$F$15,IF(B47&lt;'3. Lüderitz Industry'!$C$17,'3. Lüderitz Industry'!$F$16,'3. Lüderitz Industry'!$F$17)))</f>
        <v>328500</v>
      </c>
      <c r="F47" s="45">
        <f>IF(B47&lt;'3. Lüderitz Industry'!$C$26,"",IF(B47&lt;'3. Lüderitz Industry'!$C$27,'3. Lüderitz Industry'!$F$26,IF(B47&lt;'3. Lüderitz Industry'!$C$28,'3. Lüderitz Industry'!$F$27,'3. Lüderitz Industry'!$F$28)))</f>
        <v>478671.42857142852</v>
      </c>
      <c r="G47" s="45">
        <f>IF(B47&lt;'3. Lüderitz Industry'!$C$32,"",'3. Lüderitz Industry'!$C$34)</f>
        <v>0</v>
      </c>
      <c r="H47" s="45">
        <f>IF(B47&lt;'3. Lüderitz Industry'!$C$38,"",'3. Lüderitz Industry'!$C$41)</f>
        <v>28105</v>
      </c>
      <c r="I47" s="45">
        <f>IF(B47&lt;'3. Lüderitz Industry'!$C$45,"",'3. Lüderitz Industry'!$C$47)</f>
        <v>15877</v>
      </c>
      <c r="J47" s="45">
        <f>IF(B47&lt;'3. Lüderitz Industry'!$C$52,"",'3. Lüderitz Industry'!$C$54)</f>
        <v>0</v>
      </c>
      <c r="K47" s="45">
        <f>IF(B47&lt;'3. Lüderitz Industry'!$I$11,"",'3. Lüderitz Industry'!$I$13)</f>
        <v>0</v>
      </c>
      <c r="L47" s="45">
        <f>IF(B47&lt;'3. Lüderitz Industry'!$I$17,"",'3. Lüderitz Industry'!$I$19)</f>
        <v>0</v>
      </c>
      <c r="M47" s="45">
        <f>IF(B47&lt;'3. Lüderitz Industry'!$I$23,"",'3. Lüderitz Industry'!$I$25)</f>
        <v>0</v>
      </c>
      <c r="N47" s="45">
        <f>IF(B47&lt;'3. Lüderitz Industry'!$I$29,"",'3. Lüderitz Industry'!$I$31)</f>
        <v>0</v>
      </c>
      <c r="O47" s="45">
        <f>IF(B47&lt;'3. Lüderitz Industry'!$L$12,"",IF(B47&lt;'3. Lüderitz Industry'!$L$13,'3. Lüderitz Industry'!$Q$12,IF(B47&lt;'3. Lüderitz Industry'!$L$14,'3. Lüderitz Industry'!$Q$13,'3. Lüderitz Industry'!$Q$14)))</f>
        <v>18250000</v>
      </c>
      <c r="P47" s="45">
        <f>IF(B47&lt;'3. Lüderitz Industry'!$L$20,"0",IF(B47&lt;'3. Lüderitz Industry'!$L$21,'3. Lüderitz Industry'!$R$20,IF(B47&lt;'3. Lüderitz Industry'!$L$22,'3. Lüderitz Industry'!$R$21,'3. Lüderitz Industry'!$R$22)))</f>
        <v>10585000</v>
      </c>
      <c r="Q47" s="61">
        <f t="shared" si="2"/>
        <v>30096121.428571429</v>
      </c>
      <c r="R47" s="61">
        <f t="shared" si="0"/>
        <v>1261121.4285714291</v>
      </c>
    </row>
    <row r="48" spans="2:18" x14ac:dyDescent="0.2">
      <c r="B48" s="44">
        <f t="shared" si="1"/>
        <v>2041</v>
      </c>
      <c r="C48" s="45">
        <f>C47+(C47*'2. Control Panel - Lüderitz'!$J$15)</f>
        <v>1404526.8536024068</v>
      </c>
      <c r="E48" s="45">
        <f>IF(B48&lt;'3. Lüderitz Industry'!$C$12,"",IF(B48&lt;'3. Lüderitz Industry'!$C$16,'3. Lüderitz Industry'!$F$15,IF(B48&lt;'3. Lüderitz Industry'!$C$17,'3. Lüderitz Industry'!$F$16,'3. Lüderitz Industry'!$F$17)))</f>
        <v>328500</v>
      </c>
      <c r="F48" s="45">
        <f>IF(B48&lt;'3. Lüderitz Industry'!$C$26,"",IF(B48&lt;'3. Lüderitz Industry'!$C$27,'3. Lüderitz Industry'!$F$26,IF(B48&lt;'3. Lüderitz Industry'!$C$28,'3. Lüderitz Industry'!$F$27,'3. Lüderitz Industry'!$F$28)))</f>
        <v>478671.42857142852</v>
      </c>
      <c r="G48" s="45">
        <f>IF(B48&lt;'3. Lüderitz Industry'!$C$32,"",'3. Lüderitz Industry'!$C$34)</f>
        <v>0</v>
      </c>
      <c r="H48" s="45">
        <f>IF(B48&lt;'3. Lüderitz Industry'!$C$38,"",'3. Lüderitz Industry'!$C$41)</f>
        <v>28105</v>
      </c>
      <c r="I48" s="45">
        <f>IF(B48&lt;'3. Lüderitz Industry'!$C$45,"",'3. Lüderitz Industry'!$C$47)</f>
        <v>15877</v>
      </c>
      <c r="J48" s="45">
        <f>IF(B48&lt;'3. Lüderitz Industry'!$C$52,"",'3. Lüderitz Industry'!$C$54)</f>
        <v>0</v>
      </c>
      <c r="K48" s="45">
        <f>IF(B48&lt;'3. Lüderitz Industry'!$I$11,"",'3. Lüderitz Industry'!$I$13)</f>
        <v>0</v>
      </c>
      <c r="L48" s="45">
        <f>IF(B48&lt;'3. Lüderitz Industry'!$I$17,"",'3. Lüderitz Industry'!$I$19)</f>
        <v>0</v>
      </c>
      <c r="M48" s="45">
        <f>IF(B48&lt;'3. Lüderitz Industry'!$I$23,"",'3. Lüderitz Industry'!$I$25)</f>
        <v>0</v>
      </c>
      <c r="N48" s="45">
        <f>IF(B48&lt;'3. Lüderitz Industry'!$I$29,"",'3. Lüderitz Industry'!$I$31)</f>
        <v>0</v>
      </c>
      <c r="O48" s="45">
        <f>IF(B48&lt;'3. Lüderitz Industry'!$L$12,"",IF(B48&lt;'3. Lüderitz Industry'!$L$13,'3. Lüderitz Industry'!$Q$12,IF(B48&lt;'3. Lüderitz Industry'!$L$14,'3. Lüderitz Industry'!$Q$13,'3. Lüderitz Industry'!$Q$14)))</f>
        <v>18250000</v>
      </c>
      <c r="P48" s="45">
        <f>IF(B48&lt;'3. Lüderitz Industry'!$L$20,"0",IF(B48&lt;'3. Lüderitz Industry'!$L$21,'3. Lüderitz Industry'!$R$20,IF(B48&lt;'3. Lüderitz Industry'!$L$22,'3. Lüderitz Industry'!$R$21,'3. Lüderitz Industry'!$R$22)))</f>
        <v>10585000</v>
      </c>
      <c r="Q48" s="61">
        <f t="shared" si="2"/>
        <v>30096121.428571429</v>
      </c>
      <c r="R48" s="61">
        <f t="shared" si="0"/>
        <v>1261121.4285714291</v>
      </c>
    </row>
    <row r="49" spans="2:18" x14ac:dyDescent="0.2">
      <c r="B49" s="44">
        <f t="shared" si="1"/>
        <v>2042</v>
      </c>
      <c r="C49" s="45">
        <f>C48+(C48*'2. Control Panel - Lüderitz'!$J$15)</f>
        <v>1516889.0018905993</v>
      </c>
      <c r="E49" s="45">
        <f>IF(B49&lt;'3. Lüderitz Industry'!$C$12,"",IF(B49&lt;'3. Lüderitz Industry'!$C$16,'3. Lüderitz Industry'!$F$15,IF(B49&lt;'3. Lüderitz Industry'!$C$17,'3. Lüderitz Industry'!$F$16,'3. Lüderitz Industry'!$F$17)))</f>
        <v>328500</v>
      </c>
      <c r="F49" s="45">
        <f>IF(B49&lt;'3. Lüderitz Industry'!$C$26,"",IF(B49&lt;'3. Lüderitz Industry'!$C$27,'3. Lüderitz Industry'!$F$26,IF(B49&lt;'3. Lüderitz Industry'!$C$28,'3. Lüderitz Industry'!$F$27,'3. Lüderitz Industry'!$F$28)))</f>
        <v>478671.42857142852</v>
      </c>
      <c r="G49" s="45">
        <f>IF(B49&lt;'3. Lüderitz Industry'!$C$32,"",'3. Lüderitz Industry'!$C$34)</f>
        <v>0</v>
      </c>
      <c r="H49" s="45">
        <f>IF(B49&lt;'3. Lüderitz Industry'!$C$38,"",'3. Lüderitz Industry'!$C$41)</f>
        <v>28105</v>
      </c>
      <c r="I49" s="45">
        <f>IF(B49&lt;'3. Lüderitz Industry'!$C$45,"",'3. Lüderitz Industry'!$C$47)</f>
        <v>15877</v>
      </c>
      <c r="J49" s="45">
        <f>IF(B49&lt;'3. Lüderitz Industry'!$C$52,"",'3. Lüderitz Industry'!$C$54)</f>
        <v>0</v>
      </c>
      <c r="K49" s="45">
        <f>IF(B49&lt;'3. Lüderitz Industry'!$I$11,"",'3. Lüderitz Industry'!$I$13)</f>
        <v>0</v>
      </c>
      <c r="L49" s="45">
        <f>IF(B49&lt;'3. Lüderitz Industry'!$I$17,"",'3. Lüderitz Industry'!$I$19)</f>
        <v>0</v>
      </c>
      <c r="M49" s="45">
        <f>IF(B49&lt;'3. Lüderitz Industry'!$I$23,"",'3. Lüderitz Industry'!$I$25)</f>
        <v>0</v>
      </c>
      <c r="N49" s="45">
        <f>IF(B49&lt;'3. Lüderitz Industry'!$I$29,"",'3. Lüderitz Industry'!$I$31)</f>
        <v>0</v>
      </c>
      <c r="O49" s="45">
        <f>IF(B49&lt;'3. Lüderitz Industry'!$L$12,"",IF(B49&lt;'3. Lüderitz Industry'!$L$13,'3. Lüderitz Industry'!$Q$12,IF(B49&lt;'3. Lüderitz Industry'!$L$14,'3. Lüderitz Industry'!$Q$13,'3. Lüderitz Industry'!$Q$14)))</f>
        <v>18250000</v>
      </c>
      <c r="P49" s="45">
        <f>IF(B49&lt;'3. Lüderitz Industry'!$L$20,"0",IF(B49&lt;'3. Lüderitz Industry'!$L$21,'3. Lüderitz Industry'!$R$20,IF(B49&lt;'3. Lüderitz Industry'!$L$22,'3. Lüderitz Industry'!$R$21,'3. Lüderitz Industry'!$R$22)))</f>
        <v>18250000</v>
      </c>
      <c r="Q49" s="61">
        <f t="shared" si="2"/>
        <v>37761121.428571433</v>
      </c>
      <c r="R49" s="61">
        <f t="shared" si="0"/>
        <v>1261121.4285714328</v>
      </c>
    </row>
    <row r="50" spans="2:18" x14ac:dyDescent="0.2">
      <c r="B50" s="44">
        <f t="shared" si="1"/>
        <v>2043</v>
      </c>
      <c r="C50" s="45">
        <f>C49+(C49*'2. Control Panel - Lüderitz'!$J$15)</f>
        <v>1638240.1220418471</v>
      </c>
      <c r="E50" s="45">
        <f>IF(B50&lt;'3. Lüderitz Industry'!$C$12,"",IF(B50&lt;'3. Lüderitz Industry'!$C$16,'3. Lüderitz Industry'!$F$15,IF(B50&lt;'3. Lüderitz Industry'!$C$17,'3. Lüderitz Industry'!$F$16,'3. Lüderitz Industry'!$F$17)))</f>
        <v>328500</v>
      </c>
      <c r="F50" s="45">
        <f>IF(B50&lt;'3. Lüderitz Industry'!$C$26,"",IF(B50&lt;'3. Lüderitz Industry'!$C$27,'3. Lüderitz Industry'!$F$26,IF(B50&lt;'3. Lüderitz Industry'!$C$28,'3. Lüderitz Industry'!$F$27,'3. Lüderitz Industry'!$F$28)))</f>
        <v>478671.42857142852</v>
      </c>
      <c r="G50" s="45">
        <f>IF(B50&lt;'3. Lüderitz Industry'!$C$32,"",'3. Lüderitz Industry'!$C$34)</f>
        <v>0</v>
      </c>
      <c r="H50" s="45">
        <f>IF(B50&lt;'3. Lüderitz Industry'!$C$38,"",'3. Lüderitz Industry'!$C$41)</f>
        <v>28105</v>
      </c>
      <c r="I50" s="45">
        <f>IF(B50&lt;'3. Lüderitz Industry'!$C$45,"",'3. Lüderitz Industry'!$C$47)</f>
        <v>15877</v>
      </c>
      <c r="J50" s="45">
        <f>IF(B50&lt;'3. Lüderitz Industry'!$C$52,"",'3. Lüderitz Industry'!$C$54)</f>
        <v>0</v>
      </c>
      <c r="K50" s="45">
        <f>IF(B50&lt;'3. Lüderitz Industry'!$I$11,"",'3. Lüderitz Industry'!$I$13)</f>
        <v>0</v>
      </c>
      <c r="L50" s="45">
        <f>IF(B50&lt;'3. Lüderitz Industry'!$I$17,"",'3. Lüderitz Industry'!$I$19)</f>
        <v>0</v>
      </c>
      <c r="M50" s="45">
        <f>IF(B50&lt;'3. Lüderitz Industry'!$I$23,"",'3. Lüderitz Industry'!$I$25)</f>
        <v>0</v>
      </c>
      <c r="N50" s="45">
        <f>IF(B50&lt;'3. Lüderitz Industry'!$I$29,"",'3. Lüderitz Industry'!$I$31)</f>
        <v>0</v>
      </c>
      <c r="O50" s="45">
        <f>IF(B50&lt;'3. Lüderitz Industry'!$L$12,"",IF(B50&lt;'3. Lüderitz Industry'!$L$13,'3. Lüderitz Industry'!$Q$12,IF(B50&lt;'3. Lüderitz Industry'!$L$14,'3. Lüderitz Industry'!$Q$13,'3. Lüderitz Industry'!$Q$14)))</f>
        <v>18250000</v>
      </c>
      <c r="P50" s="45">
        <f>IF(B50&lt;'3. Lüderitz Industry'!$L$20,"0",IF(B50&lt;'3. Lüderitz Industry'!$L$21,'3. Lüderitz Industry'!$R$20,IF(B50&lt;'3. Lüderitz Industry'!$L$22,'3. Lüderitz Industry'!$R$21,'3. Lüderitz Industry'!$R$22)))</f>
        <v>18250000</v>
      </c>
      <c r="Q50" s="61">
        <f t="shared" si="2"/>
        <v>37761121.428571433</v>
      </c>
      <c r="R50" s="61">
        <f t="shared" si="0"/>
        <v>1261121.4285714328</v>
      </c>
    </row>
    <row r="51" spans="2:18" x14ac:dyDescent="0.2">
      <c r="B51" s="44">
        <f t="shared" si="1"/>
        <v>2044</v>
      </c>
      <c r="C51" s="45">
        <f>C50+(C50*'2. Control Panel - Lüderitz'!$J$15)</f>
        <v>1769299.331805195</v>
      </c>
      <c r="E51" s="45">
        <f>IF(B51&lt;'3. Lüderitz Industry'!$C$12,"",IF(B51&lt;'3. Lüderitz Industry'!$C$16,'3. Lüderitz Industry'!$F$15,IF(B51&lt;'3. Lüderitz Industry'!$C$17,'3. Lüderitz Industry'!$F$16,'3. Lüderitz Industry'!$F$17)))</f>
        <v>328500</v>
      </c>
      <c r="F51" s="45">
        <f>IF(B51&lt;'3. Lüderitz Industry'!$C$26,"",IF(B51&lt;'3. Lüderitz Industry'!$C$27,'3. Lüderitz Industry'!$F$26,IF(B51&lt;'3. Lüderitz Industry'!$C$28,'3. Lüderitz Industry'!$F$27,'3. Lüderitz Industry'!$F$28)))</f>
        <v>478671.42857142852</v>
      </c>
      <c r="G51" s="45">
        <f>IF(B51&lt;'3. Lüderitz Industry'!$C$32,"",'3. Lüderitz Industry'!$C$34)</f>
        <v>0</v>
      </c>
      <c r="H51" s="45">
        <f>IF(B51&lt;'3. Lüderitz Industry'!$C$38,"",'3. Lüderitz Industry'!$C$41)</f>
        <v>28105</v>
      </c>
      <c r="I51" s="45">
        <f>IF(B51&lt;'3. Lüderitz Industry'!$C$45,"",'3. Lüderitz Industry'!$C$47)</f>
        <v>15877</v>
      </c>
      <c r="J51" s="45">
        <f>IF(B51&lt;'3. Lüderitz Industry'!$C$52,"",'3. Lüderitz Industry'!$C$54)</f>
        <v>0</v>
      </c>
      <c r="K51" s="45">
        <f>IF(B51&lt;'3. Lüderitz Industry'!$I$11,"",'3. Lüderitz Industry'!$I$13)</f>
        <v>0</v>
      </c>
      <c r="L51" s="45">
        <f>IF(B51&lt;'3. Lüderitz Industry'!$I$17,"",'3. Lüderitz Industry'!$I$19)</f>
        <v>0</v>
      </c>
      <c r="M51" s="45">
        <f>IF(B51&lt;'3. Lüderitz Industry'!$I$23,"",'3. Lüderitz Industry'!$I$25)</f>
        <v>0</v>
      </c>
      <c r="N51" s="45">
        <f>IF(B51&lt;'3. Lüderitz Industry'!$I$29,"",'3. Lüderitz Industry'!$I$31)</f>
        <v>0</v>
      </c>
      <c r="O51" s="45">
        <f>IF(B51&lt;'3. Lüderitz Industry'!$L$12,"",IF(B51&lt;'3. Lüderitz Industry'!$L$13,'3. Lüderitz Industry'!$Q$12,IF(B51&lt;'3. Lüderitz Industry'!$L$14,'3. Lüderitz Industry'!$Q$13,'3. Lüderitz Industry'!$Q$14)))</f>
        <v>18250000</v>
      </c>
      <c r="P51" s="45">
        <f>IF(B51&lt;'3. Lüderitz Industry'!$L$20,"0",IF(B51&lt;'3. Lüderitz Industry'!$L$21,'3. Lüderitz Industry'!$R$20,IF(B51&lt;'3. Lüderitz Industry'!$L$22,'3. Lüderitz Industry'!$R$21,'3. Lüderitz Industry'!$R$22)))</f>
        <v>18250000</v>
      </c>
      <c r="Q51" s="61">
        <f t="shared" si="2"/>
        <v>37761121.428571433</v>
      </c>
      <c r="R51" s="61">
        <f t="shared" si="0"/>
        <v>1261121.4285714328</v>
      </c>
    </row>
    <row r="52" spans="2:18" x14ac:dyDescent="0.2">
      <c r="B52" s="44">
        <f t="shared" si="1"/>
        <v>2045</v>
      </c>
      <c r="C52" s="45">
        <f>C51+(C51*'2. Control Panel - Lüderitz'!$J$15)</f>
        <v>1910843.2783496105</v>
      </c>
      <c r="E52" s="45">
        <f>IF(B52&lt;'3. Lüderitz Industry'!$C$12,"",IF(B52&lt;'3. Lüderitz Industry'!$C$16,'3. Lüderitz Industry'!$F$15,IF(B52&lt;'3. Lüderitz Industry'!$C$17,'3. Lüderitz Industry'!$F$16,'3. Lüderitz Industry'!$F$17)))</f>
        <v>328500</v>
      </c>
      <c r="F52" s="45">
        <f>IF(B52&lt;'3. Lüderitz Industry'!$C$26,"",IF(B52&lt;'3. Lüderitz Industry'!$C$27,'3. Lüderitz Industry'!$F$26,IF(B52&lt;'3. Lüderitz Industry'!$C$28,'3. Lüderitz Industry'!$F$27,'3. Lüderitz Industry'!$F$28)))</f>
        <v>478671.42857142852</v>
      </c>
      <c r="G52" s="45">
        <f>IF(B52&lt;'3. Lüderitz Industry'!$C$32,"",'3. Lüderitz Industry'!$C$34)</f>
        <v>0</v>
      </c>
      <c r="H52" s="45">
        <f>IF(B52&lt;'3. Lüderitz Industry'!$C$38,"",'3. Lüderitz Industry'!$C$41)</f>
        <v>28105</v>
      </c>
      <c r="I52" s="45">
        <f>IF(B52&lt;'3. Lüderitz Industry'!$C$45,"",'3. Lüderitz Industry'!$C$47)</f>
        <v>15877</v>
      </c>
      <c r="J52" s="45">
        <f>IF(B52&lt;'3. Lüderitz Industry'!$C$52,"",'3. Lüderitz Industry'!$C$54)</f>
        <v>0</v>
      </c>
      <c r="K52" s="45">
        <f>IF(B52&lt;'3. Lüderitz Industry'!$I$11,"",'3. Lüderitz Industry'!$I$13)</f>
        <v>0</v>
      </c>
      <c r="L52" s="45">
        <f>IF(B52&lt;'3. Lüderitz Industry'!$I$17,"",'3. Lüderitz Industry'!$I$19)</f>
        <v>0</v>
      </c>
      <c r="M52" s="45">
        <f>IF(B52&lt;'3. Lüderitz Industry'!$I$23,"",'3. Lüderitz Industry'!$I$25)</f>
        <v>0</v>
      </c>
      <c r="N52" s="45">
        <f>IF(B52&lt;'3. Lüderitz Industry'!$I$29,"",'3. Lüderitz Industry'!$I$31)</f>
        <v>0</v>
      </c>
      <c r="O52" s="45">
        <f>IF(B52&lt;'3. Lüderitz Industry'!$L$12,"",IF(B52&lt;'3. Lüderitz Industry'!$L$13,'3. Lüderitz Industry'!$Q$12,IF(B52&lt;'3. Lüderitz Industry'!$L$14,'3. Lüderitz Industry'!$Q$13,'3. Lüderitz Industry'!$Q$14)))</f>
        <v>18250000</v>
      </c>
      <c r="P52" s="45">
        <f>IF(B52&lt;'3. Lüderitz Industry'!$L$20,"0",IF(B52&lt;'3. Lüderitz Industry'!$L$21,'3. Lüderitz Industry'!$R$20,IF(B52&lt;'3. Lüderitz Industry'!$L$22,'3. Lüderitz Industry'!$R$21,'3. Lüderitz Industry'!$R$22)))</f>
        <v>18250000</v>
      </c>
      <c r="Q52" s="61">
        <f t="shared" si="2"/>
        <v>37761121.428571433</v>
      </c>
      <c r="R52" s="61">
        <f t="shared" si="0"/>
        <v>1261121.4285714328</v>
      </c>
    </row>
    <row r="53" spans="2:18" x14ac:dyDescent="0.2">
      <c r="B53" s="44">
        <f t="shared" si="1"/>
        <v>2046</v>
      </c>
      <c r="C53" s="45">
        <f>C52+(C52*'2. Control Panel - Lüderitz'!$J$15)</f>
        <v>2063710.7406175793</v>
      </c>
      <c r="E53" s="45">
        <f>IF(B53&lt;'3. Lüderitz Industry'!$C$12,"",IF(B53&lt;'3. Lüderitz Industry'!$C$16,'3. Lüderitz Industry'!$F$15,IF(B53&lt;'3. Lüderitz Industry'!$C$17,'3. Lüderitz Industry'!$F$16,'3. Lüderitz Industry'!$F$17)))</f>
        <v>328500</v>
      </c>
      <c r="F53" s="45">
        <f>IF(B53&lt;'3. Lüderitz Industry'!$C$26,"",IF(B53&lt;'3. Lüderitz Industry'!$C$27,'3. Lüderitz Industry'!$F$26,IF(B53&lt;'3. Lüderitz Industry'!$C$28,'3. Lüderitz Industry'!$F$27,'3. Lüderitz Industry'!$F$28)))</f>
        <v>478671.42857142852</v>
      </c>
      <c r="G53" s="45">
        <f>IF(B53&lt;'3. Lüderitz Industry'!$C$32,"",'3. Lüderitz Industry'!$C$34)</f>
        <v>0</v>
      </c>
      <c r="H53" s="45">
        <f>IF(B53&lt;'3. Lüderitz Industry'!$C$38,"",'3. Lüderitz Industry'!$C$41)</f>
        <v>28105</v>
      </c>
      <c r="I53" s="45">
        <f>IF(B53&lt;'3. Lüderitz Industry'!$C$45,"",'3. Lüderitz Industry'!$C$47)</f>
        <v>15877</v>
      </c>
      <c r="J53" s="45">
        <f>IF(B53&lt;'3. Lüderitz Industry'!$C$52,"",'3. Lüderitz Industry'!$C$54)</f>
        <v>0</v>
      </c>
      <c r="K53" s="45">
        <f>IF(B53&lt;'3. Lüderitz Industry'!$I$11,"",'3. Lüderitz Industry'!$I$13)</f>
        <v>0</v>
      </c>
      <c r="L53" s="45">
        <f>IF(B53&lt;'3. Lüderitz Industry'!$I$17,"",'3. Lüderitz Industry'!$I$19)</f>
        <v>0</v>
      </c>
      <c r="M53" s="45">
        <f>IF(B53&lt;'3. Lüderitz Industry'!$I$23,"",'3. Lüderitz Industry'!$I$25)</f>
        <v>0</v>
      </c>
      <c r="N53" s="45">
        <f>IF(B53&lt;'3. Lüderitz Industry'!$I$29,"",'3. Lüderitz Industry'!$I$31)</f>
        <v>0</v>
      </c>
      <c r="O53" s="45">
        <f>IF(B53&lt;'3. Lüderitz Industry'!$L$12,"",IF(B53&lt;'3. Lüderitz Industry'!$L$13,'3. Lüderitz Industry'!$Q$12,IF(B53&lt;'3. Lüderitz Industry'!$L$14,'3. Lüderitz Industry'!$Q$13,'3. Lüderitz Industry'!$Q$14)))</f>
        <v>18250000</v>
      </c>
      <c r="P53" s="45">
        <f>IF(B53&lt;'3. Lüderitz Industry'!$L$20,"0",IF(B53&lt;'3. Lüderitz Industry'!$L$21,'3. Lüderitz Industry'!$R$20,IF(B53&lt;'3. Lüderitz Industry'!$L$22,'3. Lüderitz Industry'!$R$21,'3. Lüderitz Industry'!$R$22)))</f>
        <v>18250000</v>
      </c>
      <c r="Q53" s="61">
        <f t="shared" si="2"/>
        <v>37761121.428571433</v>
      </c>
      <c r="R53" s="61">
        <f t="shared" si="0"/>
        <v>1261121.4285714328</v>
      </c>
    </row>
    <row r="54" spans="2:18" x14ac:dyDescent="0.2">
      <c r="B54" s="44">
        <f t="shared" si="1"/>
        <v>2047</v>
      </c>
      <c r="C54" s="45">
        <f>C53+(C53*'2. Control Panel - Lüderitz'!$J$15)</f>
        <v>2228807.5998669858</v>
      </c>
      <c r="E54" s="45">
        <f>IF(B54&lt;'3. Lüderitz Industry'!$C$12,"",IF(B54&lt;'3. Lüderitz Industry'!$C$16,'3. Lüderitz Industry'!$F$15,IF(B54&lt;'3. Lüderitz Industry'!$C$17,'3. Lüderitz Industry'!$F$16,'3. Lüderitz Industry'!$F$17)))</f>
        <v>328500</v>
      </c>
      <c r="F54" s="45">
        <f>IF(B54&lt;'3. Lüderitz Industry'!$C$26,"",IF(B54&lt;'3. Lüderitz Industry'!$C$27,'3. Lüderitz Industry'!$F$26,IF(B54&lt;'3. Lüderitz Industry'!$C$28,'3. Lüderitz Industry'!$F$27,'3. Lüderitz Industry'!$F$28)))</f>
        <v>478671.42857142852</v>
      </c>
      <c r="G54" s="45">
        <f>IF(B54&lt;'3. Lüderitz Industry'!$C$32,"",'3. Lüderitz Industry'!$C$34)</f>
        <v>0</v>
      </c>
      <c r="H54" s="45">
        <f>IF(B54&lt;'3. Lüderitz Industry'!$C$38,"",'3. Lüderitz Industry'!$C$41)</f>
        <v>28105</v>
      </c>
      <c r="I54" s="45">
        <f>IF(B54&lt;'3. Lüderitz Industry'!$C$45,"",'3. Lüderitz Industry'!$C$47)</f>
        <v>15877</v>
      </c>
      <c r="J54" s="45">
        <f>IF(B54&lt;'3. Lüderitz Industry'!$C$52,"",'3. Lüderitz Industry'!$C$54)</f>
        <v>0</v>
      </c>
      <c r="K54" s="45">
        <f>IF(B54&lt;'3. Lüderitz Industry'!$I$11,"",'3. Lüderitz Industry'!$I$13)</f>
        <v>0</v>
      </c>
      <c r="L54" s="45">
        <f>IF(B54&lt;'3. Lüderitz Industry'!$I$17,"",'3. Lüderitz Industry'!$I$19)</f>
        <v>0</v>
      </c>
      <c r="M54" s="45">
        <f>IF(B54&lt;'3. Lüderitz Industry'!$I$23,"",'3. Lüderitz Industry'!$I$25)</f>
        <v>0</v>
      </c>
      <c r="N54" s="45">
        <f>IF(B54&lt;'3. Lüderitz Industry'!$I$29,"",'3. Lüderitz Industry'!$I$31)</f>
        <v>0</v>
      </c>
      <c r="O54" s="45">
        <f>IF(B54&lt;'3. Lüderitz Industry'!$L$12,"",IF(B54&lt;'3. Lüderitz Industry'!$L$13,'3. Lüderitz Industry'!$Q$12,IF(B54&lt;'3. Lüderitz Industry'!$L$14,'3. Lüderitz Industry'!$Q$13,'3. Lüderitz Industry'!$Q$14)))</f>
        <v>18250000</v>
      </c>
      <c r="P54" s="45">
        <f>IF(B54&lt;'3. Lüderitz Industry'!$L$20,"0",IF(B54&lt;'3. Lüderitz Industry'!$L$21,'3. Lüderitz Industry'!$R$20,IF(B54&lt;'3. Lüderitz Industry'!$L$22,'3. Lüderitz Industry'!$R$21,'3. Lüderitz Industry'!$R$22)))</f>
        <v>18250000</v>
      </c>
      <c r="Q54" s="61">
        <f t="shared" si="2"/>
        <v>37761121.428571433</v>
      </c>
      <c r="R54" s="61">
        <f t="shared" si="0"/>
        <v>1261121.4285714328</v>
      </c>
    </row>
    <row r="55" spans="2:18" x14ac:dyDescent="0.2">
      <c r="B55" s="44">
        <f t="shared" si="1"/>
        <v>2048</v>
      </c>
      <c r="C55" s="45">
        <f>C54+(C54*'2. Control Panel - Lüderitz'!$J$15)</f>
        <v>2407112.2078563445</v>
      </c>
      <c r="E55" s="45">
        <f>IF(B55&lt;'3. Lüderitz Industry'!$C$12,"",IF(B55&lt;'3. Lüderitz Industry'!$C$16,'3. Lüderitz Industry'!$F$15,IF(B55&lt;'3. Lüderitz Industry'!$C$17,'3. Lüderitz Industry'!$F$16,'3. Lüderitz Industry'!$F$17)))</f>
        <v>328500</v>
      </c>
      <c r="F55" s="45">
        <f>IF(B55&lt;'3. Lüderitz Industry'!$C$26,"",IF(B55&lt;'3. Lüderitz Industry'!$C$27,'3. Lüderitz Industry'!$F$26,IF(B55&lt;'3. Lüderitz Industry'!$C$28,'3. Lüderitz Industry'!$F$27,'3. Lüderitz Industry'!$F$28)))</f>
        <v>478671.42857142852</v>
      </c>
      <c r="G55" s="45">
        <f>IF(B55&lt;'3. Lüderitz Industry'!$C$32,"",'3. Lüderitz Industry'!$C$34)</f>
        <v>0</v>
      </c>
      <c r="H55" s="45">
        <f>IF(B55&lt;'3. Lüderitz Industry'!$C$38,"",'3. Lüderitz Industry'!$C$41)</f>
        <v>28105</v>
      </c>
      <c r="I55" s="45">
        <f>IF(B55&lt;'3. Lüderitz Industry'!$C$45,"",'3. Lüderitz Industry'!$C$47)</f>
        <v>15877</v>
      </c>
      <c r="J55" s="45">
        <f>IF(B55&lt;'3. Lüderitz Industry'!$C$52,"",'3. Lüderitz Industry'!$C$54)</f>
        <v>0</v>
      </c>
      <c r="K55" s="45">
        <f>IF(B55&lt;'3. Lüderitz Industry'!$I$11,"",'3. Lüderitz Industry'!$I$13)</f>
        <v>0</v>
      </c>
      <c r="L55" s="45">
        <f>IF(B55&lt;'3. Lüderitz Industry'!$I$17,"",'3. Lüderitz Industry'!$I$19)</f>
        <v>0</v>
      </c>
      <c r="M55" s="45">
        <f>IF(B55&lt;'3. Lüderitz Industry'!$I$23,"",'3. Lüderitz Industry'!$I$25)</f>
        <v>0</v>
      </c>
      <c r="N55" s="45">
        <f>IF(B55&lt;'3. Lüderitz Industry'!$I$29,"",'3. Lüderitz Industry'!$I$31)</f>
        <v>0</v>
      </c>
      <c r="O55" s="45">
        <f>IF(B55&lt;'3. Lüderitz Industry'!$L$12,"",IF(B55&lt;'3. Lüderitz Industry'!$L$13,'3. Lüderitz Industry'!$Q$12,IF(B55&lt;'3. Lüderitz Industry'!$L$14,'3. Lüderitz Industry'!$Q$13,'3. Lüderitz Industry'!$Q$14)))</f>
        <v>18250000</v>
      </c>
      <c r="P55" s="45">
        <f>IF(B55&lt;'3. Lüderitz Industry'!$L$20,"0",IF(B55&lt;'3. Lüderitz Industry'!$L$21,'3. Lüderitz Industry'!$R$20,IF(B55&lt;'3. Lüderitz Industry'!$L$22,'3. Lüderitz Industry'!$R$21,'3. Lüderitz Industry'!$R$22)))</f>
        <v>18250000</v>
      </c>
      <c r="Q55" s="61">
        <f t="shared" si="2"/>
        <v>37761121.428571433</v>
      </c>
      <c r="R55" s="61">
        <f t="shared" si="0"/>
        <v>1261121.4285714328</v>
      </c>
    </row>
    <row r="56" spans="2:18" x14ac:dyDescent="0.2">
      <c r="B56" s="44">
        <f>B55+1</f>
        <v>2049</v>
      </c>
      <c r="C56" s="45">
        <f>C55+(C55*'2. Control Panel - Lüderitz'!$J$15)</f>
        <v>2599681.184484852</v>
      </c>
      <c r="E56" s="45">
        <f>IF(B56&lt;'3. Lüderitz Industry'!$C$12,"",IF(B56&lt;'3. Lüderitz Industry'!$C$16,'3. Lüderitz Industry'!$F$15,IF(B56&lt;'3. Lüderitz Industry'!$C$17,'3. Lüderitz Industry'!$F$16,'3. Lüderitz Industry'!$F$17)))</f>
        <v>328500</v>
      </c>
      <c r="F56" s="45">
        <f>IF(B56&lt;'3. Lüderitz Industry'!$C$26,"",IF(B56&lt;'3. Lüderitz Industry'!$C$27,'3. Lüderitz Industry'!$F$26,IF(B56&lt;'3. Lüderitz Industry'!$C$28,'3. Lüderitz Industry'!$F$27,'3. Lüderitz Industry'!$F$28)))</f>
        <v>478671.42857142852</v>
      </c>
      <c r="G56" s="45">
        <f>IF(B56&lt;'3. Lüderitz Industry'!$C$32,"",'3. Lüderitz Industry'!$C$34)</f>
        <v>0</v>
      </c>
      <c r="H56" s="45">
        <f>IF(B56&lt;'3. Lüderitz Industry'!$C$38,"",'3. Lüderitz Industry'!$C$41)</f>
        <v>28105</v>
      </c>
      <c r="I56" s="45">
        <f>IF(B56&lt;'3. Lüderitz Industry'!$C$45,"",'3. Lüderitz Industry'!$C$47)</f>
        <v>15877</v>
      </c>
      <c r="J56" s="45">
        <f>IF(B56&lt;'3. Lüderitz Industry'!$C$52,"",'3. Lüderitz Industry'!$C$54)</f>
        <v>0</v>
      </c>
      <c r="K56" s="45">
        <f>IF(B56&lt;'3. Lüderitz Industry'!$I$11,"",'3. Lüderitz Industry'!$I$13)</f>
        <v>0</v>
      </c>
      <c r="L56" s="45">
        <f>IF(B56&lt;'3. Lüderitz Industry'!$I$17,"",'3. Lüderitz Industry'!$I$19)</f>
        <v>0</v>
      </c>
      <c r="M56" s="45">
        <f>IF(B56&lt;'3. Lüderitz Industry'!$I$23,"",'3. Lüderitz Industry'!$I$25)</f>
        <v>0</v>
      </c>
      <c r="N56" s="45">
        <f>IF(B56&lt;'3. Lüderitz Industry'!$I$29,"",'3. Lüderitz Industry'!$I$31)</f>
        <v>0</v>
      </c>
      <c r="O56" s="45">
        <f>IF(B56&lt;'3. Lüderitz Industry'!$L$12,"",IF(B56&lt;'3. Lüderitz Industry'!$L$13,'3. Lüderitz Industry'!$Q$12,IF(B56&lt;'3. Lüderitz Industry'!$L$14,'3. Lüderitz Industry'!$Q$13,'3. Lüderitz Industry'!$Q$14)))</f>
        <v>18250000</v>
      </c>
      <c r="P56" s="45">
        <f>IF(B56&lt;'3. Lüderitz Industry'!$L$20,"0",IF(B56&lt;'3. Lüderitz Industry'!$L$21,'3. Lüderitz Industry'!$R$20,IF(B56&lt;'3. Lüderitz Industry'!$L$22,'3. Lüderitz Industry'!$R$21,'3. Lüderitz Industry'!$R$22)))</f>
        <v>18250000</v>
      </c>
      <c r="Q56" s="61">
        <f t="shared" si="2"/>
        <v>37761121.428571433</v>
      </c>
      <c r="R56" s="61">
        <f t="shared" si="0"/>
        <v>1261121.4285714328</v>
      </c>
    </row>
    <row r="57" spans="2:18" x14ac:dyDescent="0.2">
      <c r="B57" s="44">
        <f>B56+1</f>
        <v>2050</v>
      </c>
      <c r="C57" s="45">
        <f>C56+(C56*'2. Control Panel - Lüderitz'!$J$15)</f>
        <v>2807655.67924364</v>
      </c>
      <c r="E57" s="45">
        <f>IF(B57&lt;'3. Lüderitz Industry'!$C$12,"",IF(B57&lt;'3. Lüderitz Industry'!$C$16,'3. Lüderitz Industry'!$F$15,IF(B57&lt;'3. Lüderitz Industry'!$C$17,'3. Lüderitz Industry'!$F$16,'3. Lüderitz Industry'!$F$17)))</f>
        <v>328500</v>
      </c>
      <c r="F57" s="45">
        <f>IF(B57&lt;'3. Lüderitz Industry'!$C$26,"",IF(B57&lt;'3. Lüderitz Industry'!$C$27,'3. Lüderitz Industry'!$F$26,IF(B57&lt;'3. Lüderitz Industry'!$C$28,'3. Lüderitz Industry'!$F$27,'3. Lüderitz Industry'!$F$28)))</f>
        <v>478671.42857142852</v>
      </c>
      <c r="G57" s="45">
        <f>IF(B57&lt;'3. Lüderitz Industry'!$C$32,"",'3. Lüderitz Industry'!$C$34)</f>
        <v>0</v>
      </c>
      <c r="H57" s="45">
        <f>IF(B57&lt;'3. Lüderitz Industry'!$C$38,"",'3. Lüderitz Industry'!$C$41)</f>
        <v>28105</v>
      </c>
      <c r="I57" s="45">
        <f>IF(B57&lt;'3. Lüderitz Industry'!$C$45,"",'3. Lüderitz Industry'!$C$47)</f>
        <v>15877</v>
      </c>
      <c r="J57" s="45">
        <f>IF(B57&lt;'3. Lüderitz Industry'!$C$52,"",'3. Lüderitz Industry'!$C$54)</f>
        <v>0</v>
      </c>
      <c r="K57" s="45">
        <f>IF(B57&lt;'3. Lüderitz Industry'!$I$11,"",'3. Lüderitz Industry'!$I$13)</f>
        <v>0</v>
      </c>
      <c r="L57" s="45">
        <f>IF(B57&lt;'3. Lüderitz Industry'!$I$17,"",'3. Lüderitz Industry'!$I$19)</f>
        <v>0</v>
      </c>
      <c r="M57" s="45">
        <f>IF(B57&lt;'3. Lüderitz Industry'!$I$23,"",'3. Lüderitz Industry'!$I$25)</f>
        <v>0</v>
      </c>
      <c r="N57" s="45">
        <f>IF(B57&lt;'3. Lüderitz Industry'!$I$29,"",'3. Lüderitz Industry'!$I$31)</f>
        <v>0</v>
      </c>
      <c r="O57" s="45">
        <f>IF(B57&lt;'3. Lüderitz Industry'!$L$12,"",IF(B57&lt;'3. Lüderitz Industry'!$L$13,'3. Lüderitz Industry'!$Q$12,IF(B57&lt;'3. Lüderitz Industry'!$L$14,'3. Lüderitz Industry'!$Q$13,'3. Lüderitz Industry'!$Q$14)))</f>
        <v>18250000</v>
      </c>
      <c r="P57" s="45">
        <f>IF(B57&lt;'3. Lüderitz Industry'!$L$20,"0",IF(B57&lt;'3. Lüderitz Industry'!$L$21,'3. Lüderitz Industry'!$R$20,IF(B57&lt;'3. Lüderitz Industry'!$L$22,'3. Lüderitz Industry'!$R$21,'3. Lüderitz Industry'!$R$22)))</f>
        <v>18250000</v>
      </c>
      <c r="Q57" s="61">
        <f>SUM(E57:P57)+$C$32</f>
        <v>37761121.428571433</v>
      </c>
      <c r="R57" s="61">
        <f t="shared" si="0"/>
        <v>1261121.4285714328</v>
      </c>
    </row>
    <row r="59" spans="2:18" s="39" customFormat="1" ht="23.45" customHeight="1" x14ac:dyDescent="0.2">
      <c r="B59" s="105" t="s">
        <v>129</v>
      </c>
      <c r="C59" s="105"/>
      <c r="D59" s="105"/>
      <c r="E59" s="105"/>
      <c r="F59" s="105"/>
      <c r="G59" s="105"/>
      <c r="H59" s="105"/>
      <c r="I59" s="105"/>
      <c r="J59" s="105"/>
      <c r="K59" s="105"/>
      <c r="L59" s="105"/>
      <c r="M59" s="105"/>
    </row>
    <row r="60" spans="2:18" s="39" customFormat="1" ht="23.45" customHeight="1" x14ac:dyDescent="0.2"/>
    <row r="61" spans="2:18" s="39" customFormat="1" ht="16.5" customHeight="1" x14ac:dyDescent="0.2">
      <c r="C61" s="122" t="s">
        <v>130</v>
      </c>
      <c r="D61" s="122"/>
      <c r="E61" s="122"/>
      <c r="F61" s="122"/>
      <c r="G61" s="122"/>
      <c r="I61" s="122" t="s">
        <v>131</v>
      </c>
      <c r="J61" s="122"/>
      <c r="K61" s="122"/>
      <c r="L61" s="122"/>
      <c r="M61" s="122"/>
    </row>
    <row r="62" spans="2:18" ht="21" customHeight="1" x14ac:dyDescent="0.2">
      <c r="C62" s="122"/>
      <c r="D62" s="122"/>
      <c r="E62" s="122"/>
      <c r="F62" s="122"/>
      <c r="G62" s="122"/>
      <c r="I62" s="122"/>
      <c r="J62" s="122"/>
      <c r="K62" s="122"/>
      <c r="L62" s="122"/>
      <c r="M62" s="122"/>
    </row>
    <row r="63" spans="2:18" ht="42.75" customHeight="1" x14ac:dyDescent="0.2">
      <c r="B63" s="56" t="s">
        <v>34</v>
      </c>
      <c r="C63" s="57" t="s">
        <v>77</v>
      </c>
      <c r="D63" s="57" t="s">
        <v>78</v>
      </c>
      <c r="E63" s="57" t="s">
        <v>79</v>
      </c>
      <c r="F63" s="57" t="s">
        <v>80</v>
      </c>
      <c r="G63" s="57" t="s">
        <v>81</v>
      </c>
      <c r="H63" s="40"/>
      <c r="I63" s="57" t="s">
        <v>77</v>
      </c>
      <c r="J63" s="57" t="s">
        <v>78</v>
      </c>
      <c r="K63" s="57" t="s">
        <v>79</v>
      </c>
      <c r="L63" s="57" t="s">
        <v>80</v>
      </c>
      <c r="M63" s="57" t="s">
        <v>81</v>
      </c>
    </row>
    <row r="64" spans="2:18" x14ac:dyDescent="0.2">
      <c r="B64" s="49">
        <f>ScenarioStart</f>
        <v>2025</v>
      </c>
      <c r="C64" s="45">
        <f t="shared" ref="C64:C89" si="3">SUM(E32:J32)+$C$32</f>
        <v>409968</v>
      </c>
      <c r="D64" s="45">
        <f t="shared" ref="D64:D89" si="4">SUM(E32:N32)+$C$32</f>
        <v>409968</v>
      </c>
      <c r="E64" s="45">
        <f t="shared" ref="E64:E89" si="5">SUM(E32:J32,O32)+$C$32</f>
        <v>409968</v>
      </c>
      <c r="F64" s="45">
        <f t="shared" ref="F64:F89" si="6">SUM(E32:O32)+$C$32</f>
        <v>409968</v>
      </c>
      <c r="G64" s="45">
        <f t="shared" ref="G64:G89" si="7">SUM(E32:P32)+$C$32</f>
        <v>409968</v>
      </c>
      <c r="I64" s="45">
        <f>C64</f>
        <v>409968</v>
      </c>
      <c r="J64" s="45">
        <f>D64</f>
        <v>409968</v>
      </c>
      <c r="K64" s="45">
        <f>E64-O32</f>
        <v>409968</v>
      </c>
      <c r="L64" s="45">
        <f>F64-O32</f>
        <v>409968</v>
      </c>
      <c r="M64" s="45">
        <f>G64-(SUM(O32:P32))</f>
        <v>409968</v>
      </c>
    </row>
    <row r="65" spans="2:13" x14ac:dyDescent="0.2">
      <c r="B65" s="44">
        <f>B64+1</f>
        <v>2026</v>
      </c>
      <c r="C65" s="45">
        <f t="shared" si="3"/>
        <v>694902.14285714284</v>
      </c>
      <c r="D65" s="45">
        <f t="shared" si="4"/>
        <v>694902.14285714284</v>
      </c>
      <c r="E65" s="45">
        <f t="shared" si="5"/>
        <v>694902.14285714284</v>
      </c>
      <c r="F65" s="45">
        <f t="shared" si="6"/>
        <v>694902.14285714284</v>
      </c>
      <c r="G65" s="45">
        <f t="shared" si="7"/>
        <v>694902.14285714284</v>
      </c>
      <c r="I65" s="45">
        <f t="shared" ref="I65:I89" si="8">C65</f>
        <v>694902.14285714284</v>
      </c>
      <c r="J65" s="45">
        <f t="shared" ref="J65:J89" si="9">D65</f>
        <v>694902.14285714284</v>
      </c>
      <c r="K65" s="45">
        <f t="shared" ref="K65:K89" si="10">E65-O33</f>
        <v>694902.14285714284</v>
      </c>
      <c r="L65" s="45">
        <f t="shared" ref="L65:L89" si="11">F65-O33</f>
        <v>694902.14285714284</v>
      </c>
      <c r="M65" s="45">
        <f t="shared" ref="M65:M89" si="12">G65-(SUM(O33:P33))</f>
        <v>694902.14285714284</v>
      </c>
    </row>
    <row r="66" spans="2:13" x14ac:dyDescent="0.2">
      <c r="B66" s="44">
        <f t="shared" ref="B66:B87" si="13">B65+1</f>
        <v>2027</v>
      </c>
      <c r="C66" s="45">
        <f t="shared" si="3"/>
        <v>694902.14285714284</v>
      </c>
      <c r="D66" s="45">
        <f t="shared" si="4"/>
        <v>694902.14285714284</v>
      </c>
      <c r="E66" s="45">
        <f t="shared" si="5"/>
        <v>2154902.1428571427</v>
      </c>
      <c r="F66" s="45">
        <f t="shared" si="6"/>
        <v>2154902.1428571427</v>
      </c>
      <c r="G66" s="45">
        <f t="shared" si="7"/>
        <v>2154902.1428571427</v>
      </c>
      <c r="I66" s="45">
        <f t="shared" si="8"/>
        <v>694902.14285714284</v>
      </c>
      <c r="J66" s="45">
        <f t="shared" si="9"/>
        <v>694902.14285714284</v>
      </c>
      <c r="K66" s="45">
        <f t="shared" si="10"/>
        <v>694902.14285714272</v>
      </c>
      <c r="L66" s="45">
        <f t="shared" si="11"/>
        <v>694902.14285714272</v>
      </c>
      <c r="M66" s="45">
        <f t="shared" si="12"/>
        <v>694902.14285714272</v>
      </c>
    </row>
    <row r="67" spans="2:13" x14ac:dyDescent="0.2">
      <c r="B67" s="44">
        <f t="shared" si="13"/>
        <v>2028</v>
      </c>
      <c r="C67" s="45">
        <f t="shared" si="3"/>
        <v>694902.14285714284</v>
      </c>
      <c r="D67" s="45">
        <f t="shared" si="4"/>
        <v>694902.14285714284</v>
      </c>
      <c r="E67" s="45">
        <f t="shared" si="5"/>
        <v>2154902.1428571427</v>
      </c>
      <c r="F67" s="45">
        <f t="shared" si="6"/>
        <v>2154902.1428571427</v>
      </c>
      <c r="G67" s="45">
        <f t="shared" si="7"/>
        <v>2154902.1428571427</v>
      </c>
      <c r="I67" s="45">
        <f t="shared" si="8"/>
        <v>694902.14285714284</v>
      </c>
      <c r="J67" s="45">
        <f t="shared" si="9"/>
        <v>694902.14285714284</v>
      </c>
      <c r="K67" s="45">
        <f t="shared" si="10"/>
        <v>694902.14285714272</v>
      </c>
      <c r="L67" s="45">
        <f t="shared" si="11"/>
        <v>694902.14285714272</v>
      </c>
      <c r="M67" s="45">
        <f t="shared" si="12"/>
        <v>694902.14285714272</v>
      </c>
    </row>
    <row r="68" spans="2:13" x14ac:dyDescent="0.2">
      <c r="B68" s="44">
        <f t="shared" si="13"/>
        <v>2029</v>
      </c>
      <c r="C68" s="45">
        <f t="shared" si="3"/>
        <v>694902.14285714284</v>
      </c>
      <c r="D68" s="45">
        <f t="shared" si="4"/>
        <v>694902.14285714284</v>
      </c>
      <c r="E68" s="45">
        <f t="shared" si="5"/>
        <v>2154902.1428571427</v>
      </c>
      <c r="F68" s="45">
        <f t="shared" si="6"/>
        <v>2154902.1428571427</v>
      </c>
      <c r="G68" s="45">
        <f t="shared" si="7"/>
        <v>2154902.1428571427</v>
      </c>
      <c r="I68" s="45">
        <f t="shared" si="8"/>
        <v>694902.14285714284</v>
      </c>
      <c r="J68" s="45">
        <f t="shared" si="9"/>
        <v>694902.14285714284</v>
      </c>
      <c r="K68" s="45">
        <f t="shared" si="10"/>
        <v>694902.14285714272</v>
      </c>
      <c r="L68" s="45">
        <f t="shared" si="11"/>
        <v>694902.14285714272</v>
      </c>
      <c r="M68" s="45">
        <f t="shared" si="12"/>
        <v>694902.14285714272</v>
      </c>
    </row>
    <row r="69" spans="2:13" x14ac:dyDescent="0.2">
      <c r="B69" s="44">
        <f t="shared" si="13"/>
        <v>2030</v>
      </c>
      <c r="C69" s="45">
        <f t="shared" si="3"/>
        <v>723007.14285714284</v>
      </c>
      <c r="D69" s="45">
        <f t="shared" si="4"/>
        <v>723007.14285714284</v>
      </c>
      <c r="E69" s="45">
        <f t="shared" si="5"/>
        <v>2183007.1428571427</v>
      </c>
      <c r="F69" s="45">
        <f t="shared" si="6"/>
        <v>2183007.1428571427</v>
      </c>
      <c r="G69" s="45">
        <f t="shared" si="7"/>
        <v>2183007.1428571427</v>
      </c>
      <c r="I69" s="45">
        <f t="shared" si="8"/>
        <v>723007.14285714284</v>
      </c>
      <c r="J69" s="45">
        <f t="shared" si="9"/>
        <v>723007.14285714284</v>
      </c>
      <c r="K69" s="45">
        <f t="shared" si="10"/>
        <v>723007.14285714272</v>
      </c>
      <c r="L69" s="45">
        <f t="shared" si="11"/>
        <v>723007.14285714272</v>
      </c>
      <c r="M69" s="45">
        <f t="shared" si="12"/>
        <v>723007.14285714272</v>
      </c>
    </row>
    <row r="70" spans="2:13" x14ac:dyDescent="0.2">
      <c r="B70" s="44">
        <f t="shared" si="13"/>
        <v>2031</v>
      </c>
      <c r="C70" s="45">
        <f t="shared" si="3"/>
        <v>992064.28571428568</v>
      </c>
      <c r="D70" s="45">
        <f t="shared" si="4"/>
        <v>992064.28571428568</v>
      </c>
      <c r="E70" s="45">
        <f t="shared" si="5"/>
        <v>11577064.285714285</v>
      </c>
      <c r="F70" s="45">
        <f t="shared" si="6"/>
        <v>11577064.285714285</v>
      </c>
      <c r="G70" s="45">
        <f t="shared" si="7"/>
        <v>11577064.285714285</v>
      </c>
      <c r="I70" s="45">
        <f t="shared" si="8"/>
        <v>992064.28571428568</v>
      </c>
      <c r="J70" s="45">
        <f t="shared" si="9"/>
        <v>992064.28571428568</v>
      </c>
      <c r="K70" s="45">
        <f t="shared" si="10"/>
        <v>992064.28571428545</v>
      </c>
      <c r="L70" s="45">
        <f t="shared" si="11"/>
        <v>992064.28571428545</v>
      </c>
      <c r="M70" s="45">
        <f t="shared" si="12"/>
        <v>992064.28571428545</v>
      </c>
    </row>
    <row r="71" spans="2:13" x14ac:dyDescent="0.2">
      <c r="B71" s="44">
        <f t="shared" si="13"/>
        <v>2032</v>
      </c>
      <c r="C71" s="45">
        <f t="shared" si="3"/>
        <v>992064.28571428568</v>
      </c>
      <c r="D71" s="45">
        <f t="shared" si="4"/>
        <v>992064.28571428568</v>
      </c>
      <c r="E71" s="45">
        <f t="shared" si="5"/>
        <v>11577064.285714285</v>
      </c>
      <c r="F71" s="45">
        <f t="shared" si="6"/>
        <v>11577064.285714285</v>
      </c>
      <c r="G71" s="45">
        <f t="shared" si="7"/>
        <v>11577064.285714285</v>
      </c>
      <c r="I71" s="45">
        <f t="shared" si="8"/>
        <v>992064.28571428568</v>
      </c>
      <c r="J71" s="45">
        <f t="shared" si="9"/>
        <v>992064.28571428568</v>
      </c>
      <c r="K71" s="45">
        <f t="shared" si="10"/>
        <v>992064.28571428545</v>
      </c>
      <c r="L71" s="45">
        <f t="shared" si="11"/>
        <v>992064.28571428545</v>
      </c>
      <c r="M71" s="45">
        <f t="shared" si="12"/>
        <v>992064.28571428545</v>
      </c>
    </row>
    <row r="72" spans="2:13" x14ac:dyDescent="0.2">
      <c r="B72" s="44">
        <f t="shared" si="13"/>
        <v>2033</v>
      </c>
      <c r="C72" s="45">
        <f t="shared" si="3"/>
        <v>992064.28571428568</v>
      </c>
      <c r="D72" s="45">
        <f t="shared" si="4"/>
        <v>992064.28571428568</v>
      </c>
      <c r="E72" s="45">
        <f t="shared" si="5"/>
        <v>11577064.285714285</v>
      </c>
      <c r="F72" s="45">
        <f t="shared" si="6"/>
        <v>11577064.285714285</v>
      </c>
      <c r="G72" s="45">
        <f t="shared" si="7"/>
        <v>11577064.285714285</v>
      </c>
      <c r="I72" s="45">
        <f t="shared" si="8"/>
        <v>992064.28571428568</v>
      </c>
      <c r="J72" s="45">
        <f t="shared" si="9"/>
        <v>992064.28571428568</v>
      </c>
      <c r="K72" s="45">
        <f t="shared" si="10"/>
        <v>992064.28571428545</v>
      </c>
      <c r="L72" s="45">
        <f t="shared" si="11"/>
        <v>992064.28571428545</v>
      </c>
      <c r="M72" s="45">
        <f t="shared" si="12"/>
        <v>992064.28571428545</v>
      </c>
    </row>
    <row r="73" spans="2:13" x14ac:dyDescent="0.2">
      <c r="B73" s="44">
        <f t="shared" si="13"/>
        <v>2034</v>
      </c>
      <c r="C73" s="45">
        <f t="shared" si="3"/>
        <v>1261121.4285714286</v>
      </c>
      <c r="D73" s="45">
        <f t="shared" si="4"/>
        <v>1261121.4285714286</v>
      </c>
      <c r="E73" s="45">
        <f t="shared" si="5"/>
        <v>19511121.428571429</v>
      </c>
      <c r="F73" s="45">
        <f t="shared" si="6"/>
        <v>19511121.428571429</v>
      </c>
      <c r="G73" s="45">
        <f t="shared" si="7"/>
        <v>19511121.428571429</v>
      </c>
      <c r="I73" s="45">
        <f t="shared" si="8"/>
        <v>1261121.4285714286</v>
      </c>
      <c r="J73" s="45">
        <f t="shared" si="9"/>
        <v>1261121.4285714286</v>
      </c>
      <c r="K73" s="45">
        <f t="shared" si="10"/>
        <v>1261121.4285714291</v>
      </c>
      <c r="L73" s="45">
        <f t="shared" si="11"/>
        <v>1261121.4285714291</v>
      </c>
      <c r="M73" s="45">
        <f t="shared" si="12"/>
        <v>1261121.4285714291</v>
      </c>
    </row>
    <row r="74" spans="2:13" x14ac:dyDescent="0.2">
      <c r="B74" s="44">
        <f t="shared" si="13"/>
        <v>2035</v>
      </c>
      <c r="C74" s="45">
        <f t="shared" si="3"/>
        <v>1261121.4285714286</v>
      </c>
      <c r="D74" s="45">
        <f t="shared" si="4"/>
        <v>1261121.4285714286</v>
      </c>
      <c r="E74" s="45">
        <f t="shared" si="5"/>
        <v>19511121.428571429</v>
      </c>
      <c r="F74" s="45">
        <f t="shared" si="6"/>
        <v>19511121.428571429</v>
      </c>
      <c r="G74" s="45">
        <f t="shared" si="7"/>
        <v>20971121.428571429</v>
      </c>
      <c r="I74" s="45">
        <f t="shared" si="8"/>
        <v>1261121.4285714286</v>
      </c>
      <c r="J74" s="45">
        <f t="shared" si="9"/>
        <v>1261121.4285714286</v>
      </c>
      <c r="K74" s="45">
        <f t="shared" si="10"/>
        <v>1261121.4285714291</v>
      </c>
      <c r="L74" s="45">
        <f t="shared" si="11"/>
        <v>1261121.4285714291</v>
      </c>
      <c r="M74" s="45">
        <f t="shared" si="12"/>
        <v>1261121.4285714291</v>
      </c>
    </row>
    <row r="75" spans="2:13" x14ac:dyDescent="0.2">
      <c r="B75" s="44">
        <f t="shared" si="13"/>
        <v>2036</v>
      </c>
      <c r="C75" s="45">
        <f t="shared" si="3"/>
        <v>1261121.4285714286</v>
      </c>
      <c r="D75" s="45">
        <f t="shared" si="4"/>
        <v>1261121.4285714286</v>
      </c>
      <c r="E75" s="45">
        <f t="shared" si="5"/>
        <v>19511121.428571429</v>
      </c>
      <c r="F75" s="45">
        <f t="shared" si="6"/>
        <v>19511121.428571429</v>
      </c>
      <c r="G75" s="45">
        <f t="shared" si="7"/>
        <v>20971121.428571429</v>
      </c>
      <c r="I75" s="45">
        <f t="shared" si="8"/>
        <v>1261121.4285714286</v>
      </c>
      <c r="J75" s="45">
        <f t="shared" si="9"/>
        <v>1261121.4285714286</v>
      </c>
      <c r="K75" s="45">
        <f t="shared" si="10"/>
        <v>1261121.4285714291</v>
      </c>
      <c r="L75" s="45">
        <f t="shared" si="11"/>
        <v>1261121.4285714291</v>
      </c>
      <c r="M75" s="45">
        <f t="shared" si="12"/>
        <v>1261121.4285714291</v>
      </c>
    </row>
    <row r="76" spans="2:13" x14ac:dyDescent="0.2">
      <c r="B76" s="44">
        <f t="shared" si="13"/>
        <v>2037</v>
      </c>
      <c r="C76" s="45">
        <f t="shared" si="3"/>
        <v>1261121.4285714286</v>
      </c>
      <c r="D76" s="45">
        <f t="shared" si="4"/>
        <v>1261121.4285714286</v>
      </c>
      <c r="E76" s="45">
        <f t="shared" si="5"/>
        <v>19511121.428571429</v>
      </c>
      <c r="F76" s="45">
        <f t="shared" si="6"/>
        <v>19511121.428571429</v>
      </c>
      <c r="G76" s="45">
        <f t="shared" si="7"/>
        <v>20971121.428571429</v>
      </c>
      <c r="I76" s="45">
        <f t="shared" si="8"/>
        <v>1261121.4285714286</v>
      </c>
      <c r="J76" s="45">
        <f t="shared" si="9"/>
        <v>1261121.4285714286</v>
      </c>
      <c r="K76" s="45">
        <f t="shared" si="10"/>
        <v>1261121.4285714291</v>
      </c>
      <c r="L76" s="45">
        <f t="shared" si="11"/>
        <v>1261121.4285714291</v>
      </c>
      <c r="M76" s="45">
        <f t="shared" si="12"/>
        <v>1261121.4285714291</v>
      </c>
    </row>
    <row r="77" spans="2:13" x14ac:dyDescent="0.2">
      <c r="B77" s="44">
        <f t="shared" si="13"/>
        <v>2038</v>
      </c>
      <c r="C77" s="45">
        <f t="shared" si="3"/>
        <v>1261121.4285714286</v>
      </c>
      <c r="D77" s="45">
        <f t="shared" si="4"/>
        <v>1261121.4285714286</v>
      </c>
      <c r="E77" s="45">
        <f t="shared" si="5"/>
        <v>19511121.428571429</v>
      </c>
      <c r="F77" s="45">
        <f t="shared" si="6"/>
        <v>19511121.428571429</v>
      </c>
      <c r="G77" s="45">
        <f t="shared" si="7"/>
        <v>20971121.428571429</v>
      </c>
      <c r="I77" s="45">
        <f t="shared" si="8"/>
        <v>1261121.4285714286</v>
      </c>
      <c r="J77" s="45">
        <f t="shared" si="9"/>
        <v>1261121.4285714286</v>
      </c>
      <c r="K77" s="45">
        <f t="shared" si="10"/>
        <v>1261121.4285714291</v>
      </c>
      <c r="L77" s="45">
        <f t="shared" si="11"/>
        <v>1261121.4285714291</v>
      </c>
      <c r="M77" s="45">
        <f t="shared" si="12"/>
        <v>1261121.4285714291</v>
      </c>
    </row>
    <row r="78" spans="2:13" x14ac:dyDescent="0.2">
      <c r="B78" s="44">
        <f t="shared" si="13"/>
        <v>2039</v>
      </c>
      <c r="C78" s="45">
        <f t="shared" si="3"/>
        <v>1261121.4285714286</v>
      </c>
      <c r="D78" s="45">
        <f t="shared" si="4"/>
        <v>1261121.4285714286</v>
      </c>
      <c r="E78" s="45">
        <f t="shared" si="5"/>
        <v>19511121.428571429</v>
      </c>
      <c r="F78" s="45">
        <f t="shared" si="6"/>
        <v>19511121.428571429</v>
      </c>
      <c r="G78" s="45">
        <f t="shared" si="7"/>
        <v>30096121.428571429</v>
      </c>
      <c r="I78" s="45">
        <f t="shared" si="8"/>
        <v>1261121.4285714286</v>
      </c>
      <c r="J78" s="45">
        <f t="shared" si="9"/>
        <v>1261121.4285714286</v>
      </c>
      <c r="K78" s="45">
        <f t="shared" si="10"/>
        <v>1261121.4285714291</v>
      </c>
      <c r="L78" s="45">
        <f t="shared" si="11"/>
        <v>1261121.4285714291</v>
      </c>
      <c r="M78" s="45">
        <f t="shared" si="12"/>
        <v>1261121.4285714291</v>
      </c>
    </row>
    <row r="79" spans="2:13" x14ac:dyDescent="0.2">
      <c r="B79" s="44">
        <f t="shared" si="13"/>
        <v>2040</v>
      </c>
      <c r="C79" s="45">
        <f t="shared" si="3"/>
        <v>1261121.4285714286</v>
      </c>
      <c r="D79" s="45">
        <f t="shared" si="4"/>
        <v>1261121.4285714286</v>
      </c>
      <c r="E79" s="45">
        <f t="shared" si="5"/>
        <v>19511121.428571429</v>
      </c>
      <c r="F79" s="45">
        <f t="shared" si="6"/>
        <v>19511121.428571429</v>
      </c>
      <c r="G79" s="45">
        <f t="shared" si="7"/>
        <v>30096121.428571429</v>
      </c>
      <c r="I79" s="45">
        <f t="shared" si="8"/>
        <v>1261121.4285714286</v>
      </c>
      <c r="J79" s="45">
        <f t="shared" si="9"/>
        <v>1261121.4285714286</v>
      </c>
      <c r="K79" s="45">
        <f t="shared" si="10"/>
        <v>1261121.4285714291</v>
      </c>
      <c r="L79" s="45">
        <f t="shared" si="11"/>
        <v>1261121.4285714291</v>
      </c>
      <c r="M79" s="45">
        <f t="shared" si="12"/>
        <v>1261121.4285714291</v>
      </c>
    </row>
    <row r="80" spans="2:13" x14ac:dyDescent="0.2">
      <c r="B80" s="44">
        <f t="shared" si="13"/>
        <v>2041</v>
      </c>
      <c r="C80" s="45">
        <f t="shared" si="3"/>
        <v>1261121.4285714286</v>
      </c>
      <c r="D80" s="45">
        <f t="shared" si="4"/>
        <v>1261121.4285714286</v>
      </c>
      <c r="E80" s="45">
        <f t="shared" si="5"/>
        <v>19511121.428571429</v>
      </c>
      <c r="F80" s="45">
        <f t="shared" si="6"/>
        <v>19511121.428571429</v>
      </c>
      <c r="G80" s="45">
        <f t="shared" si="7"/>
        <v>30096121.428571429</v>
      </c>
      <c r="I80" s="45">
        <f t="shared" si="8"/>
        <v>1261121.4285714286</v>
      </c>
      <c r="J80" s="45">
        <f t="shared" si="9"/>
        <v>1261121.4285714286</v>
      </c>
      <c r="K80" s="45">
        <f t="shared" si="10"/>
        <v>1261121.4285714291</v>
      </c>
      <c r="L80" s="45">
        <f t="shared" si="11"/>
        <v>1261121.4285714291</v>
      </c>
      <c r="M80" s="45">
        <f t="shared" si="12"/>
        <v>1261121.4285714291</v>
      </c>
    </row>
    <row r="81" spans="2:13" x14ac:dyDescent="0.2">
      <c r="B81" s="44">
        <f t="shared" si="13"/>
        <v>2042</v>
      </c>
      <c r="C81" s="45">
        <f t="shared" si="3"/>
        <v>1261121.4285714286</v>
      </c>
      <c r="D81" s="45">
        <f t="shared" si="4"/>
        <v>1261121.4285714286</v>
      </c>
      <c r="E81" s="45">
        <f t="shared" si="5"/>
        <v>19511121.428571429</v>
      </c>
      <c r="F81" s="45">
        <f t="shared" si="6"/>
        <v>19511121.428571429</v>
      </c>
      <c r="G81" s="45">
        <f t="shared" si="7"/>
        <v>37761121.428571433</v>
      </c>
      <c r="I81" s="45">
        <f t="shared" si="8"/>
        <v>1261121.4285714286</v>
      </c>
      <c r="J81" s="45">
        <f t="shared" si="9"/>
        <v>1261121.4285714286</v>
      </c>
      <c r="K81" s="45">
        <f t="shared" si="10"/>
        <v>1261121.4285714291</v>
      </c>
      <c r="L81" s="45">
        <f t="shared" si="11"/>
        <v>1261121.4285714291</v>
      </c>
      <c r="M81" s="45">
        <f t="shared" si="12"/>
        <v>1261121.4285714328</v>
      </c>
    </row>
    <row r="82" spans="2:13" x14ac:dyDescent="0.2">
      <c r="B82" s="44">
        <f t="shared" si="13"/>
        <v>2043</v>
      </c>
      <c r="C82" s="45">
        <f t="shared" si="3"/>
        <v>1261121.4285714286</v>
      </c>
      <c r="D82" s="45">
        <f t="shared" si="4"/>
        <v>1261121.4285714286</v>
      </c>
      <c r="E82" s="45">
        <f t="shared" si="5"/>
        <v>19511121.428571429</v>
      </c>
      <c r="F82" s="45">
        <f t="shared" si="6"/>
        <v>19511121.428571429</v>
      </c>
      <c r="G82" s="45">
        <f t="shared" si="7"/>
        <v>37761121.428571433</v>
      </c>
      <c r="I82" s="45">
        <f t="shared" si="8"/>
        <v>1261121.4285714286</v>
      </c>
      <c r="J82" s="45">
        <f t="shared" si="9"/>
        <v>1261121.4285714286</v>
      </c>
      <c r="K82" s="45">
        <f t="shared" si="10"/>
        <v>1261121.4285714291</v>
      </c>
      <c r="L82" s="45">
        <f t="shared" si="11"/>
        <v>1261121.4285714291</v>
      </c>
      <c r="M82" s="45">
        <f t="shared" si="12"/>
        <v>1261121.4285714328</v>
      </c>
    </row>
    <row r="83" spans="2:13" x14ac:dyDescent="0.2">
      <c r="B83" s="44">
        <f t="shared" si="13"/>
        <v>2044</v>
      </c>
      <c r="C83" s="45">
        <f t="shared" si="3"/>
        <v>1261121.4285714286</v>
      </c>
      <c r="D83" s="45">
        <f t="shared" si="4"/>
        <v>1261121.4285714286</v>
      </c>
      <c r="E83" s="45">
        <f t="shared" si="5"/>
        <v>19511121.428571429</v>
      </c>
      <c r="F83" s="45">
        <f t="shared" si="6"/>
        <v>19511121.428571429</v>
      </c>
      <c r="G83" s="45">
        <f t="shared" si="7"/>
        <v>37761121.428571433</v>
      </c>
      <c r="I83" s="45">
        <f t="shared" si="8"/>
        <v>1261121.4285714286</v>
      </c>
      <c r="J83" s="45">
        <f t="shared" si="9"/>
        <v>1261121.4285714286</v>
      </c>
      <c r="K83" s="45">
        <f t="shared" si="10"/>
        <v>1261121.4285714291</v>
      </c>
      <c r="L83" s="45">
        <f t="shared" si="11"/>
        <v>1261121.4285714291</v>
      </c>
      <c r="M83" s="45">
        <f t="shared" si="12"/>
        <v>1261121.4285714328</v>
      </c>
    </row>
    <row r="84" spans="2:13" x14ac:dyDescent="0.2">
      <c r="B84" s="44">
        <f t="shared" si="13"/>
        <v>2045</v>
      </c>
      <c r="C84" s="45">
        <f t="shared" si="3"/>
        <v>1261121.4285714286</v>
      </c>
      <c r="D84" s="45">
        <f t="shared" si="4"/>
        <v>1261121.4285714286</v>
      </c>
      <c r="E84" s="45">
        <f t="shared" si="5"/>
        <v>19511121.428571429</v>
      </c>
      <c r="F84" s="45">
        <f t="shared" si="6"/>
        <v>19511121.428571429</v>
      </c>
      <c r="G84" s="45">
        <f t="shared" si="7"/>
        <v>37761121.428571433</v>
      </c>
      <c r="I84" s="45">
        <f t="shared" si="8"/>
        <v>1261121.4285714286</v>
      </c>
      <c r="J84" s="45">
        <f t="shared" si="9"/>
        <v>1261121.4285714286</v>
      </c>
      <c r="K84" s="45">
        <f t="shared" si="10"/>
        <v>1261121.4285714291</v>
      </c>
      <c r="L84" s="45">
        <f t="shared" si="11"/>
        <v>1261121.4285714291</v>
      </c>
      <c r="M84" s="45">
        <f t="shared" si="12"/>
        <v>1261121.4285714328</v>
      </c>
    </row>
    <row r="85" spans="2:13" x14ac:dyDescent="0.2">
      <c r="B85" s="44">
        <f t="shared" si="13"/>
        <v>2046</v>
      </c>
      <c r="C85" s="45">
        <f t="shared" si="3"/>
        <v>1261121.4285714286</v>
      </c>
      <c r="D85" s="45">
        <f t="shared" si="4"/>
        <v>1261121.4285714286</v>
      </c>
      <c r="E85" s="45">
        <f t="shared" si="5"/>
        <v>19511121.428571429</v>
      </c>
      <c r="F85" s="45">
        <f t="shared" si="6"/>
        <v>19511121.428571429</v>
      </c>
      <c r="G85" s="45">
        <f t="shared" si="7"/>
        <v>37761121.428571433</v>
      </c>
      <c r="I85" s="45">
        <f t="shared" si="8"/>
        <v>1261121.4285714286</v>
      </c>
      <c r="J85" s="45">
        <f t="shared" si="9"/>
        <v>1261121.4285714286</v>
      </c>
      <c r="K85" s="45">
        <f t="shared" si="10"/>
        <v>1261121.4285714291</v>
      </c>
      <c r="L85" s="45">
        <f t="shared" si="11"/>
        <v>1261121.4285714291</v>
      </c>
      <c r="M85" s="45">
        <f t="shared" si="12"/>
        <v>1261121.4285714328</v>
      </c>
    </row>
    <row r="86" spans="2:13" x14ac:dyDescent="0.2">
      <c r="B86" s="44">
        <f t="shared" si="13"/>
        <v>2047</v>
      </c>
      <c r="C86" s="45">
        <f t="shared" si="3"/>
        <v>1261121.4285714286</v>
      </c>
      <c r="D86" s="45">
        <f t="shared" si="4"/>
        <v>1261121.4285714286</v>
      </c>
      <c r="E86" s="45">
        <f t="shared" si="5"/>
        <v>19511121.428571429</v>
      </c>
      <c r="F86" s="45">
        <f t="shared" si="6"/>
        <v>19511121.428571429</v>
      </c>
      <c r="G86" s="45">
        <f t="shared" si="7"/>
        <v>37761121.428571433</v>
      </c>
      <c r="I86" s="45">
        <f t="shared" si="8"/>
        <v>1261121.4285714286</v>
      </c>
      <c r="J86" s="45">
        <f t="shared" si="9"/>
        <v>1261121.4285714286</v>
      </c>
      <c r="K86" s="45">
        <f t="shared" si="10"/>
        <v>1261121.4285714291</v>
      </c>
      <c r="L86" s="45">
        <f t="shared" si="11"/>
        <v>1261121.4285714291</v>
      </c>
      <c r="M86" s="45">
        <f t="shared" si="12"/>
        <v>1261121.4285714328</v>
      </c>
    </row>
    <row r="87" spans="2:13" x14ac:dyDescent="0.2">
      <c r="B87" s="44">
        <f t="shared" si="13"/>
        <v>2048</v>
      </c>
      <c r="C87" s="45">
        <f t="shared" si="3"/>
        <v>1261121.4285714286</v>
      </c>
      <c r="D87" s="45">
        <f t="shared" si="4"/>
        <v>1261121.4285714286</v>
      </c>
      <c r="E87" s="45">
        <f t="shared" si="5"/>
        <v>19511121.428571429</v>
      </c>
      <c r="F87" s="45">
        <f t="shared" si="6"/>
        <v>19511121.428571429</v>
      </c>
      <c r="G87" s="45">
        <f t="shared" si="7"/>
        <v>37761121.428571433</v>
      </c>
      <c r="I87" s="45">
        <f t="shared" si="8"/>
        <v>1261121.4285714286</v>
      </c>
      <c r="J87" s="45">
        <f t="shared" si="9"/>
        <v>1261121.4285714286</v>
      </c>
      <c r="K87" s="45">
        <f t="shared" si="10"/>
        <v>1261121.4285714291</v>
      </c>
      <c r="L87" s="45">
        <f t="shared" si="11"/>
        <v>1261121.4285714291</v>
      </c>
      <c r="M87" s="45">
        <f t="shared" si="12"/>
        <v>1261121.4285714328</v>
      </c>
    </row>
    <row r="88" spans="2:13" x14ac:dyDescent="0.2">
      <c r="B88" s="44">
        <f>B87+1</f>
        <v>2049</v>
      </c>
      <c r="C88" s="45">
        <f t="shared" si="3"/>
        <v>1261121.4285714286</v>
      </c>
      <c r="D88" s="45">
        <f t="shared" si="4"/>
        <v>1261121.4285714286</v>
      </c>
      <c r="E88" s="45">
        <f t="shared" si="5"/>
        <v>19511121.428571429</v>
      </c>
      <c r="F88" s="45">
        <f t="shared" si="6"/>
        <v>19511121.428571429</v>
      </c>
      <c r="G88" s="45">
        <f t="shared" si="7"/>
        <v>37761121.428571433</v>
      </c>
      <c r="I88" s="45">
        <f t="shared" si="8"/>
        <v>1261121.4285714286</v>
      </c>
      <c r="J88" s="45">
        <f t="shared" si="9"/>
        <v>1261121.4285714286</v>
      </c>
      <c r="K88" s="45">
        <f t="shared" si="10"/>
        <v>1261121.4285714291</v>
      </c>
      <c r="L88" s="45">
        <f t="shared" si="11"/>
        <v>1261121.4285714291</v>
      </c>
      <c r="M88" s="45">
        <f t="shared" si="12"/>
        <v>1261121.4285714328</v>
      </c>
    </row>
    <row r="89" spans="2:13" x14ac:dyDescent="0.2">
      <c r="B89" s="44">
        <f>B88+1</f>
        <v>2050</v>
      </c>
      <c r="C89" s="45">
        <f t="shared" si="3"/>
        <v>1261121.4285714286</v>
      </c>
      <c r="D89" s="45">
        <f t="shared" si="4"/>
        <v>1261121.4285714286</v>
      </c>
      <c r="E89" s="45">
        <f t="shared" si="5"/>
        <v>19511121.428571429</v>
      </c>
      <c r="F89" s="45">
        <f t="shared" si="6"/>
        <v>19511121.428571429</v>
      </c>
      <c r="G89" s="45">
        <f t="shared" si="7"/>
        <v>37761121.428571433</v>
      </c>
      <c r="I89" s="45">
        <f t="shared" si="8"/>
        <v>1261121.4285714286</v>
      </c>
      <c r="J89" s="45">
        <f t="shared" si="9"/>
        <v>1261121.4285714286</v>
      </c>
      <c r="K89" s="45">
        <f t="shared" si="10"/>
        <v>1261121.4285714291</v>
      </c>
      <c r="L89" s="45">
        <f t="shared" si="11"/>
        <v>1261121.4285714291</v>
      </c>
      <c r="M89" s="45">
        <f t="shared" si="12"/>
        <v>1261121.4285714328</v>
      </c>
    </row>
  </sheetData>
  <sheetProtection sheet="1" objects="1" scenarios="1" selectLockedCells="1"/>
  <mergeCells count="16">
    <mergeCell ref="B4:T5"/>
    <mergeCell ref="I61:M62"/>
    <mergeCell ref="C61:G62"/>
    <mergeCell ref="B7:F8"/>
    <mergeCell ref="B9:D9"/>
    <mergeCell ref="E9:F9"/>
    <mergeCell ref="B10:D10"/>
    <mergeCell ref="E10:F10"/>
    <mergeCell ref="B15:D15"/>
    <mergeCell ref="E15:F15"/>
    <mergeCell ref="E29:R30"/>
    <mergeCell ref="B12:F13"/>
    <mergeCell ref="B14:D14"/>
    <mergeCell ref="E14:F14"/>
    <mergeCell ref="B27:R27"/>
    <mergeCell ref="B59:M59"/>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895C-2F46-4418-9914-BDFED7896BFD}">
  <sheetPr codeName="Tabelle8">
    <tabColor theme="6"/>
  </sheetPr>
  <dimension ref="B1:X121"/>
  <sheetViews>
    <sheetView topLeftCell="A16" zoomScale="70" zoomScaleNormal="70" workbookViewId="0">
      <selection activeCell="AA24" sqref="AA24"/>
    </sheetView>
  </sheetViews>
  <sheetFormatPr baseColWidth="10" defaultColWidth="11" defaultRowHeight="14.25" x14ac:dyDescent="0.2"/>
  <cols>
    <col min="1" max="1" width="1.75" style="20" customWidth="1"/>
    <col min="2" max="2" width="11" style="20" customWidth="1"/>
    <col min="3" max="3" width="15.5" style="20" customWidth="1"/>
    <col min="4" max="5" width="12.375" style="20" customWidth="1"/>
    <col min="6" max="11" width="11" style="20"/>
    <col min="12" max="13" width="14.125" style="20" customWidth="1"/>
    <col min="14" max="14" width="13.875" style="20" customWidth="1"/>
    <col min="15" max="15" width="14.625" style="20" customWidth="1"/>
    <col min="16" max="22" width="11" style="20"/>
    <col min="23" max="23" width="11.875" style="20" customWidth="1"/>
    <col min="24" max="24" width="13.25" style="20" bestFit="1" customWidth="1"/>
    <col min="25" max="16384" width="11" style="20"/>
  </cols>
  <sheetData>
    <row r="1" spans="2:23" ht="9.6" customHeight="1" x14ac:dyDescent="0.2"/>
    <row r="2" spans="2:23" s="63" customFormat="1" ht="18" x14ac:dyDescent="0.25">
      <c r="B2" s="63" t="s">
        <v>306</v>
      </c>
    </row>
    <row r="4" spans="2:23" x14ac:dyDescent="0.2">
      <c r="B4" s="140" t="s">
        <v>316</v>
      </c>
      <c r="C4" s="141"/>
      <c r="D4" s="141"/>
      <c r="E4" s="141"/>
      <c r="F4" s="141"/>
      <c r="G4" s="141"/>
      <c r="H4" s="141"/>
      <c r="I4" s="141"/>
      <c r="J4" s="141"/>
      <c r="K4" s="141"/>
      <c r="L4" s="141"/>
      <c r="M4" s="141"/>
      <c r="N4" s="141"/>
      <c r="O4" s="141"/>
      <c r="P4" s="141"/>
      <c r="Q4" s="141"/>
      <c r="R4" s="141"/>
      <c r="S4" s="141"/>
    </row>
    <row r="5" spans="2:23" x14ac:dyDescent="0.2">
      <c r="B5" s="141"/>
      <c r="C5" s="141"/>
      <c r="D5" s="141"/>
      <c r="E5" s="141"/>
      <c r="F5" s="141"/>
      <c r="G5" s="141"/>
      <c r="H5" s="141"/>
      <c r="I5" s="141"/>
      <c r="J5" s="141"/>
      <c r="K5" s="141"/>
      <c r="L5" s="141"/>
      <c r="M5" s="141"/>
      <c r="N5" s="141"/>
      <c r="O5" s="141"/>
      <c r="P5" s="141"/>
      <c r="Q5" s="141"/>
      <c r="R5" s="141"/>
      <c r="S5" s="141"/>
    </row>
    <row r="7" spans="2:23" ht="35.1" customHeight="1" x14ac:dyDescent="0.2"/>
    <row r="8" spans="2:23" ht="35.1" customHeight="1" x14ac:dyDescent="0.25">
      <c r="W8" s="68"/>
    </row>
    <row r="9" spans="2:23" ht="35.1" customHeight="1" x14ac:dyDescent="0.2"/>
    <row r="10" spans="2:23" ht="35.1" customHeight="1" x14ac:dyDescent="0.2"/>
    <row r="11" spans="2:23" ht="35.1" customHeight="1" x14ac:dyDescent="0.2"/>
    <row r="12" spans="2:23" ht="35.1" customHeight="1" x14ac:dyDescent="0.2"/>
    <row r="13" spans="2:23" ht="35.1" customHeight="1" x14ac:dyDescent="0.2"/>
    <row r="14" spans="2:23" ht="35.1" customHeight="1" x14ac:dyDescent="0.2"/>
    <row r="15" spans="2:23" ht="35.1" customHeight="1" x14ac:dyDescent="0.2"/>
    <row r="16" spans="2:23" ht="35.1" customHeight="1" x14ac:dyDescent="0.2"/>
    <row r="17" spans="2:24" ht="35.1" customHeight="1" x14ac:dyDescent="0.2"/>
    <row r="18" spans="2:24" ht="35.1" customHeight="1" x14ac:dyDescent="0.2"/>
    <row r="19" spans="2:24" ht="35.1" customHeight="1" x14ac:dyDescent="0.2">
      <c r="J19" s="108" t="s">
        <v>212</v>
      </c>
      <c r="K19" s="108">
        <v>2030</v>
      </c>
      <c r="L19" s="108"/>
      <c r="M19" s="108">
        <v>2040</v>
      </c>
      <c r="N19" s="108"/>
      <c r="O19" s="108">
        <v>2050</v>
      </c>
      <c r="P19" s="108"/>
    </row>
    <row r="20" spans="2:24" ht="35.1" customHeight="1" x14ac:dyDescent="0.2">
      <c r="J20" s="108"/>
      <c r="K20" s="75" t="s">
        <v>175</v>
      </c>
      <c r="L20" s="75" t="s">
        <v>213</v>
      </c>
      <c r="M20" s="75" t="s">
        <v>175</v>
      </c>
      <c r="N20" s="75" t="s">
        <v>213</v>
      </c>
      <c r="O20" s="75" t="s">
        <v>175</v>
      </c>
      <c r="P20" s="75" t="s">
        <v>213</v>
      </c>
    </row>
    <row r="21" spans="2:24" ht="35.1" customHeight="1" x14ac:dyDescent="0.2">
      <c r="J21" s="3">
        <v>1</v>
      </c>
      <c r="K21" s="4">
        <f>D39</f>
        <v>1883858.1588821108</v>
      </c>
      <c r="L21" s="4">
        <f>N39</f>
        <v>1883858.1588821108</v>
      </c>
      <c r="M21" s="4">
        <f>D49</f>
        <v>3125271.5139288912</v>
      </c>
      <c r="N21" s="4">
        <f>N49</f>
        <v>3125271.5139288912</v>
      </c>
      <c r="O21" s="4">
        <f>D59</f>
        <v>3555886.8438951564</v>
      </c>
      <c r="P21" s="4">
        <f>N59</f>
        <v>3555886.8438951564</v>
      </c>
    </row>
    <row r="22" spans="2:24" ht="35.1" customHeight="1" x14ac:dyDescent="0.2">
      <c r="J22" s="3">
        <v>2</v>
      </c>
      <c r="K22" s="5">
        <f>E39</f>
        <v>2641160.1588821108</v>
      </c>
      <c r="L22" s="4">
        <f>O39</f>
        <v>2641160.1588821108</v>
      </c>
      <c r="M22" s="5">
        <f>E49</f>
        <v>4057508.9191709957</v>
      </c>
      <c r="N22" s="4">
        <f>O49</f>
        <v>4057508.9191709957</v>
      </c>
      <c r="O22" s="4">
        <f>E59</f>
        <v>4703469.4195816498</v>
      </c>
      <c r="P22" s="4">
        <f>O59</f>
        <v>4703469.4195816498</v>
      </c>
    </row>
    <row r="23" spans="2:24" ht="35.1" customHeight="1" x14ac:dyDescent="0.2">
      <c r="J23" s="3" t="s">
        <v>214</v>
      </c>
      <c r="K23" s="4">
        <f>F39</f>
        <v>4101396.6456488613</v>
      </c>
      <c r="L23" s="4">
        <f>P39</f>
        <v>1883858.1588821106</v>
      </c>
      <c r="M23" s="4">
        <f>F49</f>
        <v>21662781.913625207</v>
      </c>
      <c r="N23" s="4">
        <f>P49</f>
        <v>3125271.5139288916</v>
      </c>
      <c r="O23" s="4">
        <f>F59</f>
        <v>22159811.630826939</v>
      </c>
      <c r="P23" s="4">
        <f>P59</f>
        <v>3555886.8438951569</v>
      </c>
    </row>
    <row r="24" spans="2:24" ht="35.1" customHeight="1" x14ac:dyDescent="0.2">
      <c r="J24" s="3" t="s">
        <v>215</v>
      </c>
      <c r="K24" s="4">
        <f>G39</f>
        <v>5071045.9087103009</v>
      </c>
      <c r="L24" s="4">
        <f>Q39</f>
        <v>3156522.8166502509</v>
      </c>
      <c r="M24" s="4">
        <f>G49</f>
        <v>23869096.868182626</v>
      </c>
      <c r="N24" s="4">
        <f>Q49</f>
        <v>3608288.9854186983</v>
      </c>
      <c r="O24" s="4">
        <f>G59</f>
        <v>24875781.387124248</v>
      </c>
      <c r="P24" s="4">
        <f>Q59</f>
        <v>4150480.4859405495</v>
      </c>
    </row>
    <row r="25" spans="2:24" ht="35.1" customHeight="1" x14ac:dyDescent="0.2">
      <c r="J25" s="3" t="s">
        <v>216</v>
      </c>
      <c r="K25" s="4">
        <f>H39</f>
        <v>4858698.6456488613</v>
      </c>
      <c r="L25" s="4">
        <f>R39</f>
        <v>2641160.1588821104</v>
      </c>
      <c r="M25" s="4">
        <f>H49</f>
        <v>22595019.318867311</v>
      </c>
      <c r="N25" s="4">
        <f>R49</f>
        <v>4057508.9191709962</v>
      </c>
      <c r="O25" s="4">
        <f>H59</f>
        <v>23307394.206513435</v>
      </c>
      <c r="P25" s="4">
        <f>R59</f>
        <v>4703469.4195816498</v>
      </c>
    </row>
    <row r="26" spans="2:24" ht="35.1" customHeight="1" x14ac:dyDescent="0.2">
      <c r="J26" s="3" t="s">
        <v>217</v>
      </c>
      <c r="K26" s="4">
        <f>I39</f>
        <v>5828347.9087103009</v>
      </c>
      <c r="L26" s="4">
        <f>S39</f>
        <v>3913824.8166502505</v>
      </c>
      <c r="M26" s="4">
        <f>I49</f>
        <v>24801334.27342473</v>
      </c>
      <c r="N26" s="4">
        <f>S49</f>
        <v>5895064.4433579603</v>
      </c>
      <c r="O26" s="4">
        <f>I59</f>
        <v>26023363.96281074</v>
      </c>
      <c r="P26" s="4">
        <f>S59</f>
        <v>6965496.977750456</v>
      </c>
    </row>
    <row r="27" spans="2:24" ht="35.1" customHeight="1" x14ac:dyDescent="0.2">
      <c r="J27" s="3" t="s">
        <v>218</v>
      </c>
      <c r="K27" s="4">
        <f>J39</f>
        <v>5828347.9087103009</v>
      </c>
      <c r="L27" s="4">
        <f>T39</f>
        <v>3913824.8166502505</v>
      </c>
      <c r="M27" s="4">
        <f>J49</f>
        <v>35386334.27342473</v>
      </c>
      <c r="N27" s="4">
        <f>T49</f>
        <v>5895064.4433579603</v>
      </c>
      <c r="O27" s="4">
        <f>J59</f>
        <v>44441462.296404988</v>
      </c>
      <c r="P27" s="4">
        <f>T59</f>
        <v>6965496.9777504597</v>
      </c>
    </row>
    <row r="28" spans="2:24" ht="35.1" customHeight="1" x14ac:dyDescent="0.2">
      <c r="J28" s="3" t="s">
        <v>219</v>
      </c>
      <c r="K28" s="4">
        <f>K39</f>
        <v>5828347.9087103009</v>
      </c>
      <c r="L28" s="4">
        <f>U39</f>
        <v>3913824.8166502505</v>
      </c>
      <c r="M28" s="4">
        <f>K49</f>
        <v>35386334.27342473</v>
      </c>
      <c r="N28" s="4">
        <f>U49</f>
        <v>5895064.4433579603</v>
      </c>
      <c r="O28" s="4">
        <f>K59</f>
        <v>44656628.163405627</v>
      </c>
      <c r="P28" s="4">
        <f>U59</f>
        <v>7247902.1781887943</v>
      </c>
    </row>
    <row r="29" spans="2:24" ht="37.35" customHeight="1" x14ac:dyDescent="0.2"/>
    <row r="30" spans="2:24" s="39" customFormat="1" ht="23.45" customHeight="1" x14ac:dyDescent="0.2">
      <c r="B30" s="105" t="s">
        <v>132</v>
      </c>
      <c r="C30" s="105"/>
      <c r="D30" s="105"/>
      <c r="E30" s="105"/>
      <c r="F30" s="105"/>
      <c r="G30" s="105"/>
      <c r="H30" s="105"/>
      <c r="I30" s="105"/>
      <c r="J30" s="105"/>
      <c r="K30" s="105"/>
      <c r="L30" s="105"/>
      <c r="M30" s="105"/>
      <c r="N30" s="105"/>
      <c r="O30" s="105"/>
      <c r="P30" s="105"/>
      <c r="Q30" s="105"/>
      <c r="R30" s="105"/>
      <c r="S30" s="105"/>
      <c r="T30" s="105"/>
      <c r="U30" s="105"/>
      <c r="V30" s="105"/>
      <c r="W30" s="105"/>
      <c r="X30" s="105"/>
    </row>
    <row r="31" spans="2:24" s="39" customFormat="1" ht="23.45" customHeight="1" x14ac:dyDescent="0.2">
      <c r="W31" s="20"/>
      <c r="X31" s="20"/>
    </row>
    <row r="32" spans="2:24" ht="15" x14ac:dyDescent="0.25">
      <c r="B32" s="136" t="s">
        <v>133</v>
      </c>
      <c r="C32" s="137"/>
      <c r="D32" s="137"/>
      <c r="E32" s="137"/>
      <c r="F32" s="137"/>
      <c r="G32" s="137"/>
      <c r="H32" s="137"/>
      <c r="I32" s="137"/>
      <c r="J32" s="137"/>
      <c r="K32" s="138"/>
      <c r="M32" s="136" t="s">
        <v>221</v>
      </c>
      <c r="N32" s="137"/>
      <c r="O32" s="137"/>
      <c r="P32" s="137"/>
      <c r="Q32" s="137"/>
      <c r="R32" s="137"/>
      <c r="S32" s="137"/>
      <c r="T32" s="137"/>
      <c r="U32" s="138"/>
      <c r="V32" s="68"/>
      <c r="W32" s="134" t="s">
        <v>135</v>
      </c>
      <c r="X32" s="134"/>
    </row>
    <row r="33" spans="2:24" ht="39.75" x14ac:dyDescent="0.2">
      <c r="B33" s="56" t="s">
        <v>34</v>
      </c>
      <c r="C33" s="57" t="s">
        <v>134</v>
      </c>
      <c r="D33" s="57" t="s">
        <v>77</v>
      </c>
      <c r="E33" s="57" t="s">
        <v>78</v>
      </c>
      <c r="F33" s="57" t="s">
        <v>83</v>
      </c>
      <c r="G33" s="57" t="s">
        <v>84</v>
      </c>
      <c r="H33" s="57" t="s">
        <v>85</v>
      </c>
      <c r="I33" s="57" t="s">
        <v>86</v>
      </c>
      <c r="J33" s="57" t="s">
        <v>87</v>
      </c>
      <c r="K33" s="57" t="s">
        <v>88</v>
      </c>
      <c r="M33" s="56" t="s">
        <v>34</v>
      </c>
      <c r="N33" s="57" t="s">
        <v>77</v>
      </c>
      <c r="O33" s="57" t="s">
        <v>78</v>
      </c>
      <c r="P33" s="57" t="s">
        <v>83</v>
      </c>
      <c r="Q33" s="57" t="s">
        <v>84</v>
      </c>
      <c r="R33" s="57" t="s">
        <v>85</v>
      </c>
      <c r="S33" s="57" t="s">
        <v>86</v>
      </c>
      <c r="T33" s="57" t="s">
        <v>87</v>
      </c>
      <c r="U33" s="57" t="s">
        <v>88</v>
      </c>
      <c r="W33" s="57" t="s">
        <v>136</v>
      </c>
      <c r="X33" s="57" t="s">
        <v>137</v>
      </c>
    </row>
    <row r="34" spans="2:24" x14ac:dyDescent="0.2">
      <c r="B34" s="49">
        <f>ScenarioStart</f>
        <v>2025</v>
      </c>
      <c r="C34" s="45">
        <f>'6. Lüderitz Industrial Demand'!C32+'5. Lüderitz Domestic Demand'!D32</f>
        <v>1179534</v>
      </c>
      <c r="D34" s="45">
        <f>'5. Lüderitz Domestic Demand'!E32+'6. Lüderitz Industrial Demand'!C64</f>
        <v>1216618</v>
      </c>
      <c r="E34" s="45">
        <f>'5. Lüderitz Domestic Demand'!F32+'6. Lüderitz Industrial Demand'!D64</f>
        <v>1216618</v>
      </c>
      <c r="F34" s="45">
        <f>'5. Lüderitz Domestic Demand'!G32+'6. Lüderitz Industrial Demand'!E64</f>
        <v>1216618</v>
      </c>
      <c r="G34" s="45">
        <f>'5. Lüderitz Domestic Demand'!H32+'6. Lüderitz Industrial Demand'!E64</f>
        <v>1216618</v>
      </c>
      <c r="H34" s="45">
        <f>'5. Lüderitz Domestic Demand'!I32+'6. Lüderitz Industrial Demand'!F64</f>
        <v>1216618</v>
      </c>
      <c r="I34" s="45">
        <f>'5. Lüderitz Domestic Demand'!J32+'6. Lüderitz Industrial Demand'!F64</f>
        <v>1216618</v>
      </c>
      <c r="J34" s="45">
        <f>'5. Lüderitz Domestic Demand'!K32+'6. Lüderitz Industrial Demand'!G64</f>
        <v>1216618</v>
      </c>
      <c r="K34" s="45">
        <f>'5. Lüderitz Domestic Demand'!L32+'6. Lüderitz Industrial Demand'!G64</f>
        <v>1216618</v>
      </c>
      <c r="M34" s="49">
        <f>ScenarioStart</f>
        <v>2025</v>
      </c>
      <c r="N34" s="45">
        <f>'5. Lüderitz Domestic Demand'!O32+'6. Lüderitz Industrial Demand'!I64</f>
        <v>1216618</v>
      </c>
      <c r="O34" s="45">
        <f>'5. Lüderitz Domestic Demand'!P32+'6. Lüderitz Industrial Demand'!J64</f>
        <v>1216618</v>
      </c>
      <c r="P34" s="45">
        <f>'5. Lüderitz Domestic Demand'!Q32+'6. Lüderitz Industrial Demand'!K64</f>
        <v>1216618</v>
      </c>
      <c r="Q34" s="45">
        <f>'5. Lüderitz Domestic Demand'!R32+'6. Lüderitz Industrial Demand'!K64</f>
        <v>1216618</v>
      </c>
      <c r="R34" s="45">
        <f>'5. Lüderitz Domestic Demand'!S32+'6. Lüderitz Industrial Demand'!L64</f>
        <v>1216618</v>
      </c>
      <c r="S34" s="45">
        <f>'5. Lüderitz Domestic Demand'!T32+'6. Lüderitz Industrial Demand'!L64</f>
        <v>1216618</v>
      </c>
      <c r="T34" s="45">
        <f>'5. Lüderitz Domestic Demand'!U32+'6. Lüderitz Industrial Demand'!M64</f>
        <v>1216618</v>
      </c>
      <c r="U34" s="45">
        <f>'5. Lüderitz Domestic Demand'!V32+'6. Lüderitz Industrial Demand'!M64</f>
        <v>1216618</v>
      </c>
      <c r="V34" s="37"/>
      <c r="W34" s="61">
        <f t="shared" ref="W34:W59" si="0">Current_Demand</f>
        <v>1146100</v>
      </c>
      <c r="X34" s="61">
        <f t="shared" ref="X34:X59" si="1">KP_Yield</f>
        <v>1460000</v>
      </c>
    </row>
    <row r="35" spans="2:24" x14ac:dyDescent="0.2">
      <c r="B35" s="44">
        <f>B34+1</f>
        <v>2026</v>
      </c>
      <c r="C35" s="45">
        <f>'6. Lüderitz Industrial Demand'!C33+'5. Lüderitz Domestic Demand'!D33</f>
        <v>1215409.7039999999</v>
      </c>
      <c r="D35" s="45">
        <f>'5. Lüderitz Domestic Demand'!E33+'6. Lüderitz Industrial Demand'!C65</f>
        <v>1704571.7128571428</v>
      </c>
      <c r="E35" s="45">
        <f>'5. Lüderitz Domestic Demand'!F33+'6. Lüderitz Industrial Demand'!D65</f>
        <v>1704571.7128571428</v>
      </c>
      <c r="F35" s="45">
        <f>'5. Lüderitz Domestic Demand'!G33+'6. Lüderitz Industrial Demand'!E65</f>
        <v>1704571.7128571428</v>
      </c>
      <c r="G35" s="45">
        <f>'5. Lüderitz Domestic Demand'!H33+'6. Lüderitz Industrial Demand'!E65</f>
        <v>1704571.7128571428</v>
      </c>
      <c r="H35" s="45">
        <f>'5. Lüderitz Domestic Demand'!I33+'6. Lüderitz Industrial Demand'!F65</f>
        <v>1704571.7128571428</v>
      </c>
      <c r="I35" s="45">
        <f>'5. Lüderitz Domestic Demand'!J33+'6. Lüderitz Industrial Demand'!F65</f>
        <v>1704571.7128571428</v>
      </c>
      <c r="J35" s="45">
        <f>'5. Lüderitz Domestic Demand'!K33+'6. Lüderitz Industrial Demand'!G65</f>
        <v>1704571.7128571428</v>
      </c>
      <c r="K35" s="45">
        <f>'5. Lüderitz Domestic Demand'!L33+'6. Lüderitz Industrial Demand'!G65</f>
        <v>1704571.7128571428</v>
      </c>
      <c r="M35" s="44">
        <f>M34+1</f>
        <v>2026</v>
      </c>
      <c r="N35" s="45">
        <f>'5. Lüderitz Domestic Demand'!O33+'6. Lüderitz Industrial Demand'!I65</f>
        <v>1704571.7128571428</v>
      </c>
      <c r="O35" s="45">
        <f>'5. Lüderitz Domestic Demand'!P33+'6. Lüderitz Industrial Demand'!J65</f>
        <v>1704571.7128571428</v>
      </c>
      <c r="P35" s="45">
        <f>'5. Lüderitz Domestic Demand'!Q33+'6. Lüderitz Industrial Demand'!K65</f>
        <v>1704571.7128571428</v>
      </c>
      <c r="Q35" s="45">
        <f>'5. Lüderitz Domestic Demand'!R33+'6. Lüderitz Industrial Demand'!K65</f>
        <v>1704571.7128571428</v>
      </c>
      <c r="R35" s="45">
        <f>'5. Lüderitz Domestic Demand'!S33+'6. Lüderitz Industrial Demand'!L65</f>
        <v>1704571.7128571428</v>
      </c>
      <c r="S35" s="45">
        <f>'5. Lüderitz Domestic Demand'!T33+'6. Lüderitz Industrial Demand'!L65</f>
        <v>1704571.7128571428</v>
      </c>
      <c r="T35" s="45">
        <f>'5. Lüderitz Domestic Demand'!U33+'6. Lüderitz Industrial Demand'!M65</f>
        <v>1704571.7128571428</v>
      </c>
      <c r="U35" s="45">
        <f>'5. Lüderitz Domestic Demand'!V33+'6. Lüderitz Industrial Demand'!M65</f>
        <v>1704571.7128571428</v>
      </c>
      <c r="W35" s="61">
        <f t="shared" si="0"/>
        <v>1146100</v>
      </c>
      <c r="X35" s="61">
        <f t="shared" si="1"/>
        <v>1460000</v>
      </c>
    </row>
    <row r="36" spans="2:24" x14ac:dyDescent="0.2">
      <c r="B36" s="44">
        <f t="shared" ref="B36:B57" si="2">B35+1</f>
        <v>2027</v>
      </c>
      <c r="C36" s="45">
        <f>'6. Lüderitz Industrial Demand'!C34+'5. Lüderitz Domestic Demand'!D34</f>
        <v>1253921.5162559999</v>
      </c>
      <c r="D36" s="45">
        <f>'5. Lüderitz Domestic Demand'!E34+'6. Lüderitz Industrial Demand'!C66</f>
        <v>1759312.4338271427</v>
      </c>
      <c r="E36" s="45">
        <f>'5. Lüderitz Domestic Demand'!F34+'6. Lüderitz Industrial Demand'!D66</f>
        <v>1759312.4338271427</v>
      </c>
      <c r="F36" s="45">
        <f>'5. Lüderitz Domestic Demand'!G34+'6. Lüderitz Industrial Demand'!E66</f>
        <v>3931062.4338271427</v>
      </c>
      <c r="G36" s="45">
        <f>'5. Lüderitz Domestic Demand'!H34+'6. Lüderitz Industrial Demand'!E66</f>
        <v>4842102.4338271432</v>
      </c>
      <c r="H36" s="45">
        <f>'5. Lüderitz Domestic Demand'!I34+'6. Lüderitz Industrial Demand'!F66</f>
        <v>3931062.4338271427</v>
      </c>
      <c r="I36" s="45">
        <f>'5. Lüderitz Domestic Demand'!J34+'6. Lüderitz Industrial Demand'!F66</f>
        <v>4842102.4338271432</v>
      </c>
      <c r="J36" s="45">
        <f>'5. Lüderitz Domestic Demand'!K34+'6. Lüderitz Industrial Demand'!G66</f>
        <v>4842102.4338271432</v>
      </c>
      <c r="K36" s="45">
        <f>'5. Lüderitz Domestic Demand'!L34+'6. Lüderitz Industrial Demand'!G66</f>
        <v>4842102.4338271432</v>
      </c>
      <c r="M36" s="44">
        <f t="shared" ref="M36:M57" si="3">M35+1</f>
        <v>2027</v>
      </c>
      <c r="N36" s="45">
        <f>'5. Lüderitz Domestic Demand'!O34+'6. Lüderitz Industrial Demand'!I66</f>
        <v>1759312.4338271427</v>
      </c>
      <c r="O36" s="45">
        <f>'5. Lüderitz Domestic Demand'!P34+'6. Lüderitz Industrial Demand'!J66</f>
        <v>1759312.4338271427</v>
      </c>
      <c r="P36" s="45">
        <f>'5. Lüderitz Domestic Demand'!Q34+'6. Lüderitz Industrial Demand'!K66</f>
        <v>1759312.4338271427</v>
      </c>
      <c r="Q36" s="45">
        <f>'5. Lüderitz Domestic Demand'!R34+'6. Lüderitz Industrial Demand'!K66</f>
        <v>2955052.4338271427</v>
      </c>
      <c r="R36" s="45">
        <f>'5. Lüderitz Domestic Demand'!S34+'6. Lüderitz Industrial Demand'!L66</f>
        <v>1759312.4338271427</v>
      </c>
      <c r="S36" s="45">
        <f>'5. Lüderitz Domestic Demand'!T34+'6. Lüderitz Industrial Demand'!L66</f>
        <v>2955052.4338271427</v>
      </c>
      <c r="T36" s="45">
        <f>'5. Lüderitz Domestic Demand'!U34+'6. Lüderitz Industrial Demand'!M66</f>
        <v>2955052.4338271427</v>
      </c>
      <c r="U36" s="45">
        <f>'5. Lüderitz Domestic Demand'!V34+'6. Lüderitz Industrial Demand'!M66</f>
        <v>2955052.4338271427</v>
      </c>
      <c r="W36" s="61">
        <f t="shared" si="0"/>
        <v>1146100</v>
      </c>
      <c r="X36" s="61">
        <f t="shared" si="1"/>
        <v>1460000</v>
      </c>
    </row>
    <row r="37" spans="2:24" x14ac:dyDescent="0.2">
      <c r="B37" s="44">
        <f t="shared" si="2"/>
        <v>2028</v>
      </c>
      <c r="C37" s="45">
        <f>'6. Lüderitz Industrial Demand'!C35+'5. Lüderitz Domestic Demand'!D35</f>
        <v>1295279.3896362239</v>
      </c>
      <c r="D37" s="45">
        <f>'5. Lüderitz Domestic Demand'!E35+'6. Lüderitz Industrial Demand'!C67</f>
        <v>1803302.2499375129</v>
      </c>
      <c r="E37" s="45">
        <f>'5. Lüderitz Domestic Demand'!F35+'6. Lüderitz Industrial Demand'!D67</f>
        <v>1803302.2499375129</v>
      </c>
      <c r="F37" s="45">
        <f>'5. Lüderitz Domestic Demand'!G35+'6. Lüderitz Industrial Demand'!E67</f>
        <v>3989998.9999375129</v>
      </c>
      <c r="G37" s="45">
        <f>'5. Lüderitz Domestic Demand'!H35+'6. Lüderitz Industrial Demand'!E67</f>
        <v>4920170.8399375128</v>
      </c>
      <c r="H37" s="45">
        <f>'5. Lüderitz Domestic Demand'!I35+'6. Lüderitz Industrial Demand'!F67</f>
        <v>3989998.9999375129</v>
      </c>
      <c r="I37" s="45">
        <f>'5. Lüderitz Domestic Demand'!J35+'6. Lüderitz Industrial Demand'!F67</f>
        <v>4920170.8399375128</v>
      </c>
      <c r="J37" s="45">
        <f>'5. Lüderitz Domestic Demand'!K35+'6. Lüderitz Industrial Demand'!G67</f>
        <v>4920170.8399375128</v>
      </c>
      <c r="K37" s="45">
        <f>'5. Lüderitz Domestic Demand'!L35+'6. Lüderitz Industrial Demand'!G67</f>
        <v>4920170.8399375128</v>
      </c>
      <c r="M37" s="44">
        <f t="shared" si="3"/>
        <v>2028</v>
      </c>
      <c r="N37" s="45">
        <f>'5. Lüderitz Domestic Demand'!O35+'6. Lüderitz Industrial Demand'!I67</f>
        <v>1803302.2499375129</v>
      </c>
      <c r="O37" s="45">
        <f>'5. Lüderitz Domestic Demand'!P35+'6. Lüderitz Industrial Demand'!J67</f>
        <v>1803302.2499375129</v>
      </c>
      <c r="P37" s="45">
        <f>'5. Lüderitz Domestic Demand'!Q35+'6. Lüderitz Industrial Demand'!K67</f>
        <v>1803302.2499375127</v>
      </c>
      <c r="Q37" s="45">
        <f>'5. Lüderitz Domestic Demand'!R35+'6. Lüderitz Industrial Demand'!K67</f>
        <v>3024152.7899375129</v>
      </c>
      <c r="R37" s="45">
        <f>'5. Lüderitz Domestic Demand'!S35+'6. Lüderitz Industrial Demand'!L67</f>
        <v>1803302.2499375127</v>
      </c>
      <c r="S37" s="45">
        <f>'5. Lüderitz Domestic Demand'!T35+'6. Lüderitz Industrial Demand'!L67</f>
        <v>3024152.7899375129</v>
      </c>
      <c r="T37" s="45">
        <f>'5. Lüderitz Domestic Demand'!U35+'6. Lüderitz Industrial Demand'!M67</f>
        <v>3024152.7899375129</v>
      </c>
      <c r="U37" s="45">
        <f>'5. Lüderitz Domestic Demand'!V35+'6. Lüderitz Industrial Demand'!M67</f>
        <v>3024152.7899375129</v>
      </c>
      <c r="W37" s="61">
        <f t="shared" si="0"/>
        <v>1146100</v>
      </c>
      <c r="X37" s="61">
        <f t="shared" si="1"/>
        <v>1460000</v>
      </c>
    </row>
    <row r="38" spans="2:24" x14ac:dyDescent="0.2">
      <c r="B38" s="44">
        <f t="shared" si="2"/>
        <v>2029</v>
      </c>
      <c r="C38" s="45">
        <f>'6. Lüderitz Industrial Demand'!C36+'5. Lüderitz Domestic Demand'!D36</f>
        <v>1339710.0694951848</v>
      </c>
      <c r="D38" s="45">
        <f>'5. Lüderitz Domestic Demand'!E36+'6. Lüderitz Industrial Demand'!C68</f>
        <v>1826578.6521862005</v>
      </c>
      <c r="E38" s="45">
        <f>'5. Lüderitz Domestic Demand'!F36+'6. Lüderitz Industrial Demand'!D68</f>
        <v>1826578.6521862005</v>
      </c>
      <c r="F38" s="45">
        <f>'5. Lüderitz Domestic Demand'!G36+'6. Lüderitz Industrial Demand'!E68</f>
        <v>4028536.0339362007</v>
      </c>
      <c r="G38" s="45">
        <f>'5. Lüderitz Domestic Demand'!H36+'6. Lüderitz Industrial Demand'!E68</f>
        <v>4978241.4825762007</v>
      </c>
      <c r="H38" s="45">
        <f>'5. Lüderitz Domestic Demand'!I36+'6. Lüderitz Industrial Demand'!F68</f>
        <v>4028536.0339362007</v>
      </c>
      <c r="I38" s="45">
        <f>'5. Lüderitz Domestic Demand'!J36+'6. Lüderitz Industrial Demand'!F68</f>
        <v>4978241.4825762007</v>
      </c>
      <c r="J38" s="45">
        <f>'5. Lüderitz Domestic Demand'!K36+'6. Lüderitz Industrial Demand'!G68</f>
        <v>4978241.4825762007</v>
      </c>
      <c r="K38" s="45">
        <f>'5. Lüderitz Domestic Demand'!L36+'6. Lüderitz Industrial Demand'!G68</f>
        <v>4978241.4825762007</v>
      </c>
      <c r="M38" s="44">
        <f t="shared" si="3"/>
        <v>2029</v>
      </c>
      <c r="N38" s="45">
        <f>'5. Lüderitz Domestic Demand'!O36+'6. Lüderitz Industrial Demand'!I68</f>
        <v>1826578.6521862005</v>
      </c>
      <c r="O38" s="45">
        <f>'5. Lüderitz Domestic Demand'!P36+'6. Lüderitz Industrial Demand'!J68</f>
        <v>1826578.6521862005</v>
      </c>
      <c r="P38" s="45">
        <f>'5. Lüderitz Domestic Demand'!Q36+'6. Lüderitz Industrial Demand'!K68</f>
        <v>1826578.6521862005</v>
      </c>
      <c r="Q38" s="45">
        <f>'5. Lüderitz Domestic Demand'!R36+'6. Lüderitz Industrial Demand'!K68</f>
        <v>3073067.0535262008</v>
      </c>
      <c r="R38" s="45">
        <f>'5. Lüderitz Domestic Demand'!S36+'6. Lüderitz Industrial Demand'!L68</f>
        <v>1826578.6521862005</v>
      </c>
      <c r="S38" s="45">
        <f>'5. Lüderitz Domestic Demand'!T36+'6. Lüderitz Industrial Demand'!L68</f>
        <v>3073067.0535262008</v>
      </c>
      <c r="T38" s="45">
        <f>'5. Lüderitz Domestic Demand'!U36+'6. Lüderitz Industrial Demand'!M68</f>
        <v>3073067.0535262008</v>
      </c>
      <c r="U38" s="45">
        <f>'5. Lüderitz Domestic Demand'!V36+'6. Lüderitz Industrial Demand'!M68</f>
        <v>3073067.0535262008</v>
      </c>
      <c r="W38" s="61">
        <f t="shared" si="0"/>
        <v>1146100</v>
      </c>
      <c r="X38" s="61">
        <f t="shared" si="1"/>
        <v>1460000</v>
      </c>
    </row>
    <row r="39" spans="2:24" x14ac:dyDescent="0.2">
      <c r="B39" s="44">
        <f t="shared" si="2"/>
        <v>2030</v>
      </c>
      <c r="C39" s="45">
        <f>'6. Lüderitz Industrial Demand'!C37+'5. Lüderitz Domestic Demand'!D37</f>
        <v>1387458.4370576148</v>
      </c>
      <c r="D39" s="45">
        <f>'5. Lüderitz Domestic Demand'!E37+'6. Lüderitz Industrial Demand'!C69</f>
        <v>1883858.1588821108</v>
      </c>
      <c r="E39" s="45">
        <f>'5. Lüderitz Domestic Demand'!F37+'6. Lüderitz Industrial Demand'!D69</f>
        <v>2641160.1588821108</v>
      </c>
      <c r="F39" s="45">
        <f>'5. Lüderitz Domestic Demand'!G37+'6. Lüderitz Industrial Demand'!E69</f>
        <v>4101396.6456488613</v>
      </c>
      <c r="G39" s="45">
        <f>'5. Lüderitz Domestic Demand'!H37+'6. Lüderitz Industrial Demand'!E69</f>
        <v>5071045.9087103009</v>
      </c>
      <c r="H39" s="45">
        <f>'5. Lüderitz Domestic Demand'!I37+'6. Lüderitz Industrial Demand'!F69</f>
        <v>4858698.6456488613</v>
      </c>
      <c r="I39" s="45">
        <f>'5. Lüderitz Domestic Demand'!J37+'6. Lüderitz Industrial Demand'!F69</f>
        <v>5828347.9087103009</v>
      </c>
      <c r="J39" s="45">
        <f>'5. Lüderitz Domestic Demand'!K37+'6. Lüderitz Industrial Demand'!G69</f>
        <v>5828347.9087103009</v>
      </c>
      <c r="K39" s="45">
        <f>'5. Lüderitz Domestic Demand'!L37+'6. Lüderitz Industrial Demand'!G69</f>
        <v>5828347.9087103009</v>
      </c>
      <c r="M39" s="44">
        <f t="shared" si="3"/>
        <v>2030</v>
      </c>
      <c r="N39" s="45">
        <f>'5. Lüderitz Domestic Demand'!O37+'6. Lüderitz Industrial Demand'!I69</f>
        <v>1883858.1588821108</v>
      </c>
      <c r="O39" s="45">
        <f>'5. Lüderitz Domestic Demand'!P37+'6. Lüderitz Industrial Demand'!J69</f>
        <v>2641160.1588821108</v>
      </c>
      <c r="P39" s="45">
        <f>'5. Lüderitz Domestic Demand'!Q37+'6. Lüderitz Industrial Demand'!K69</f>
        <v>1883858.1588821106</v>
      </c>
      <c r="Q39" s="45">
        <f>'5. Lüderitz Domestic Demand'!R37+'6. Lüderitz Industrial Demand'!K69</f>
        <v>3156522.8166502509</v>
      </c>
      <c r="R39" s="45">
        <f>'5. Lüderitz Domestic Demand'!S37+'6. Lüderitz Industrial Demand'!L69</f>
        <v>2641160.1588821104</v>
      </c>
      <c r="S39" s="45">
        <f>'5. Lüderitz Domestic Demand'!T37+'6. Lüderitz Industrial Demand'!L69</f>
        <v>3913824.8166502505</v>
      </c>
      <c r="T39" s="45">
        <f>'5. Lüderitz Domestic Demand'!U37+'6. Lüderitz Industrial Demand'!M69</f>
        <v>3913824.8166502505</v>
      </c>
      <c r="U39" s="45">
        <f>'5. Lüderitz Domestic Demand'!V37+'6. Lüderitz Industrial Demand'!M69</f>
        <v>3913824.8166502505</v>
      </c>
      <c r="W39" s="61">
        <f t="shared" si="0"/>
        <v>1146100</v>
      </c>
      <c r="X39" s="61">
        <f t="shared" si="1"/>
        <v>1460000</v>
      </c>
    </row>
    <row r="40" spans="2:24" x14ac:dyDescent="0.2">
      <c r="B40" s="44">
        <f t="shared" si="2"/>
        <v>2031</v>
      </c>
      <c r="C40" s="45">
        <f>'6. Lüderitz Industrial Demand'!C38+'5. Lüderitz Domestic Demand'!D38</f>
        <v>1438788.9602730507</v>
      </c>
      <c r="D40" s="45">
        <f>'5. Lüderitz Domestic Demand'!E38+'6. Lüderitz Industrial Demand'!C70</f>
        <v>2363373.0930757779</v>
      </c>
      <c r="E40" s="45">
        <f>'5. Lüderitz Domestic Demand'!F38+'6. Lüderitz Industrial Demand'!D70</f>
        <v>3136578.4350757776</v>
      </c>
      <c r="F40" s="45">
        <f>'5. Lüderitz Domestic Demand'!G38+'6. Lüderitz Industrial Demand'!E70</f>
        <v>13721819.88806463</v>
      </c>
      <c r="G40" s="45">
        <f>'5. Lüderitz Domestic Demand'!H38+'6. Lüderitz Industrial Demand'!E70</f>
        <v>14711831.785650359</v>
      </c>
      <c r="H40" s="45">
        <f>'5. Lüderitz Domestic Demand'!I38+'6. Lüderitz Industrial Demand'!F70</f>
        <v>14495025.230064631</v>
      </c>
      <c r="I40" s="45">
        <f>'5. Lüderitz Domestic Demand'!J38+'6. Lüderitz Industrial Demand'!F70</f>
        <v>15485037.12765036</v>
      </c>
      <c r="J40" s="45">
        <f>'5. Lüderitz Domestic Demand'!K38+'6. Lüderitz Industrial Demand'!G70</f>
        <v>15485037.12765036</v>
      </c>
      <c r="K40" s="45">
        <f>'5. Lüderitz Domestic Demand'!L38+'6. Lüderitz Industrial Demand'!G70</f>
        <v>15485037.12765036</v>
      </c>
      <c r="M40" s="44">
        <f t="shared" si="3"/>
        <v>2031</v>
      </c>
      <c r="N40" s="45">
        <f>'5. Lüderitz Domestic Demand'!O38+'6. Lüderitz Industrial Demand'!I70</f>
        <v>2363373.0930757779</v>
      </c>
      <c r="O40" s="45">
        <f>'5. Lüderitz Domestic Demand'!P38+'6. Lüderitz Industrial Demand'!J70</f>
        <v>3136578.4350757776</v>
      </c>
      <c r="P40" s="45">
        <f>'5. Lüderitz Domestic Demand'!Q38+'6. Lüderitz Industrial Demand'!K70</f>
        <v>2363373.0930757774</v>
      </c>
      <c r="Q40" s="45">
        <f>'5. Lüderitz Domestic Demand'!R38+'6. Lüderitz Industrial Demand'!K70</f>
        <v>3662763.7086570486</v>
      </c>
      <c r="R40" s="45">
        <f>'5. Lüderitz Domestic Demand'!S38+'6. Lüderitz Industrial Demand'!L70</f>
        <v>3136578.4350757776</v>
      </c>
      <c r="S40" s="45">
        <f>'5. Lüderitz Domestic Demand'!T38+'6. Lüderitz Industrial Demand'!L70</f>
        <v>4435969.0506570488</v>
      </c>
      <c r="T40" s="45">
        <f>'5. Lüderitz Domestic Demand'!U38+'6. Lüderitz Industrial Demand'!M70</f>
        <v>4435969.0506570488</v>
      </c>
      <c r="U40" s="45">
        <f>'5. Lüderitz Domestic Demand'!V38+'6. Lüderitz Industrial Demand'!M70</f>
        <v>4435969.0506570488</v>
      </c>
      <c r="W40" s="61">
        <f t="shared" si="0"/>
        <v>1146100</v>
      </c>
      <c r="X40" s="61">
        <f t="shared" si="1"/>
        <v>1460000</v>
      </c>
    </row>
    <row r="41" spans="2:24" x14ac:dyDescent="0.2">
      <c r="B41" s="44">
        <f t="shared" si="2"/>
        <v>2032</v>
      </c>
      <c r="C41" s="45">
        <f>'6. Lüderitz Industrial Demand'!C39+'5. Lüderitz Domestic Demand'!D39</f>
        <v>1493987.2607387244</v>
      </c>
      <c r="D41" s="45">
        <f>'5. Lüderitz Domestic Demand'!E39+'6. Lüderitz Industrial Demand'!C71</f>
        <v>2392170.5780303692</v>
      </c>
      <c r="E41" s="45">
        <f>'5. Lüderitz Domestic Demand'!F39+'6. Lüderitz Industrial Demand'!D71</f>
        <v>3181613.2322123693</v>
      </c>
      <c r="F41" s="45">
        <f>'5. Lüderitz Domestic Demand'!G39+'6. Lüderitz Industrial Demand'!E71</f>
        <v>13766859.755713986</v>
      </c>
      <c r="G41" s="45">
        <f>'5. Lüderitz Domestic Demand'!H39+'6. Lüderitz Industrial Demand'!E71</f>
        <v>14777661.903149016</v>
      </c>
      <c r="H41" s="45">
        <f>'5. Lüderitz Domestic Demand'!I39+'6. Lüderitz Industrial Demand'!F71</f>
        <v>14556302.409895986</v>
      </c>
      <c r="I41" s="45">
        <f>'5. Lüderitz Domestic Demand'!J39+'6. Lüderitz Industrial Demand'!F71</f>
        <v>15567104.557331018</v>
      </c>
      <c r="J41" s="45">
        <f>'5. Lüderitz Domestic Demand'!K39+'6. Lüderitz Industrial Demand'!G71</f>
        <v>15567104.557331018</v>
      </c>
      <c r="K41" s="45">
        <f>'5. Lüderitz Domestic Demand'!L39+'6. Lüderitz Industrial Demand'!G71</f>
        <v>15567104.557331018</v>
      </c>
      <c r="M41" s="44">
        <f t="shared" si="3"/>
        <v>2032</v>
      </c>
      <c r="N41" s="45">
        <f>'5. Lüderitz Domestic Demand'!O39+'6. Lüderitz Industrial Demand'!I71</f>
        <v>2392170.5780303692</v>
      </c>
      <c r="O41" s="45">
        <f>'5. Lüderitz Domestic Demand'!P39+'6. Lüderitz Industrial Demand'!J71</f>
        <v>3181613.2322123693</v>
      </c>
      <c r="P41" s="45">
        <f>'5. Lüderitz Domestic Demand'!Q39+'6. Lüderitz Industrial Demand'!K71</f>
        <v>2392170.5780303692</v>
      </c>
      <c r="Q41" s="45">
        <f>'5. Lüderitz Domestic Demand'!R39+'6. Lüderitz Industrial Demand'!K71</f>
        <v>3718848.3965388467</v>
      </c>
      <c r="R41" s="45">
        <f>'5. Lüderitz Domestic Demand'!S39+'6. Lüderitz Industrial Demand'!L71</f>
        <v>3181613.2322123689</v>
      </c>
      <c r="S41" s="45">
        <f>'5. Lüderitz Domestic Demand'!T39+'6. Lüderitz Industrial Demand'!L71</f>
        <v>4508291.0507208472</v>
      </c>
      <c r="T41" s="45">
        <f>'5. Lüderitz Domestic Demand'!U39+'6. Lüderitz Industrial Demand'!M71</f>
        <v>4508291.0507208472</v>
      </c>
      <c r="U41" s="45">
        <f>'5. Lüderitz Domestic Demand'!V39+'6. Lüderitz Industrial Demand'!M71</f>
        <v>4508291.0507208472</v>
      </c>
      <c r="W41" s="61">
        <f t="shared" si="0"/>
        <v>1146100</v>
      </c>
      <c r="X41" s="61">
        <f t="shared" si="1"/>
        <v>1460000</v>
      </c>
    </row>
    <row r="42" spans="2:24" x14ac:dyDescent="0.2">
      <c r="B42" s="44">
        <f t="shared" si="2"/>
        <v>2033</v>
      </c>
      <c r="C42" s="45">
        <f>'6. Lüderitz Industrial Demand'!C40+'5. Lüderitz Domestic Demand'!D40</f>
        <v>1553361.8059762276</v>
      </c>
      <c r="D42" s="45">
        <f>'5. Lüderitz Domestic Demand'!E40+'6. Lüderitz Industrial Demand'!C72</f>
        <v>2421572.8101690067</v>
      </c>
      <c r="E42" s="45">
        <f>'5. Lüderitz Domestic Demand'!F40+'6. Lüderitz Industrial Demand'!D72</f>
        <v>3227593.7600888284</v>
      </c>
      <c r="F42" s="45">
        <f>'5. Lüderitz Domestic Demand'!G40+'6. Lüderitz Industrial Demand'!E72</f>
        <v>13812845.460583981</v>
      </c>
      <c r="G42" s="45">
        <f>'5. Lüderitz Domestic Demand'!H40+'6. Lüderitz Industrial Demand'!E72</f>
        <v>14844874.453115147</v>
      </c>
      <c r="H42" s="45">
        <f>'5. Lüderitz Domestic Demand'!I40+'6. Lüderitz Industrial Demand'!F72</f>
        <v>14618866.410503803</v>
      </c>
      <c r="I42" s="45">
        <f>'5. Lüderitz Domestic Demand'!J40+'6. Lüderitz Industrial Demand'!F72</f>
        <v>15650895.403034968</v>
      </c>
      <c r="J42" s="45">
        <f>'5. Lüderitz Domestic Demand'!K40+'6. Lüderitz Industrial Demand'!G72</f>
        <v>15650895.403034968</v>
      </c>
      <c r="K42" s="45">
        <f>'5. Lüderitz Domestic Demand'!L40+'6. Lüderitz Industrial Demand'!G72</f>
        <v>15650895.403034968</v>
      </c>
      <c r="M42" s="44">
        <f t="shared" si="3"/>
        <v>2033</v>
      </c>
      <c r="N42" s="45">
        <f>'5. Lüderitz Domestic Demand'!O40+'6. Lüderitz Industrial Demand'!I72</f>
        <v>2421572.8101690067</v>
      </c>
      <c r="O42" s="45">
        <f>'5. Lüderitz Domestic Demand'!P40+'6. Lüderitz Industrial Demand'!J72</f>
        <v>3227593.7600888284</v>
      </c>
      <c r="P42" s="45">
        <f>'5. Lüderitz Domestic Demand'!Q40+'6. Lüderitz Industrial Demand'!K72</f>
        <v>2421572.8101690067</v>
      </c>
      <c r="Q42" s="45">
        <f>'5. Lüderitz Domestic Demand'!R40+'6. Lüderitz Industrial Demand'!K72</f>
        <v>3776110.8628661628</v>
      </c>
      <c r="R42" s="45">
        <f>'5. Lüderitz Domestic Demand'!S40+'6. Lüderitz Industrial Demand'!L72</f>
        <v>3227593.7600888284</v>
      </c>
      <c r="S42" s="45">
        <f>'5. Lüderitz Domestic Demand'!T40+'6. Lüderitz Industrial Demand'!L72</f>
        <v>4582131.8127859849</v>
      </c>
      <c r="T42" s="45">
        <f>'5. Lüderitz Domestic Demand'!U40+'6. Lüderitz Industrial Demand'!M72</f>
        <v>4582131.8127859849</v>
      </c>
      <c r="U42" s="45">
        <f>'5. Lüderitz Domestic Demand'!V40+'6. Lüderitz Industrial Demand'!M72</f>
        <v>4582131.8127859849</v>
      </c>
      <c r="W42" s="61">
        <f t="shared" si="0"/>
        <v>1146100</v>
      </c>
      <c r="X42" s="61">
        <f t="shared" si="1"/>
        <v>1460000</v>
      </c>
    </row>
    <row r="43" spans="2:24" x14ac:dyDescent="0.2">
      <c r="B43" s="44">
        <f t="shared" si="2"/>
        <v>2034</v>
      </c>
      <c r="C43" s="45">
        <f>'6. Lüderitz Industrial Demand'!C41+'5. Lüderitz Domestic Demand'!D41</f>
        <v>1617245.7370902444</v>
      </c>
      <c r="D43" s="45">
        <f>'5. Lüderitz Domestic Demand'!E41+'6. Lüderitz Industrial Demand'!C73</f>
        <v>2906729.5520396992</v>
      </c>
      <c r="E43" s="45">
        <f>'5. Lüderitz Domestic Demand'!F41+'6. Lüderitz Industrial Demand'!D73</f>
        <v>3729676.9419078371</v>
      </c>
      <c r="F43" s="45">
        <f>'5. Lüderitz Domestic Demand'!G41+'6. Lüderitz Industrial Demand'!E73</f>
        <v>21410533.928113386</v>
      </c>
      <c r="G43" s="45">
        <f>'5. Lüderitz Domestic Demand'!H41+'6. Lüderitz Industrial Demand'!E73</f>
        <v>23358193.529487707</v>
      </c>
      <c r="H43" s="45">
        <f>'5. Lüderitz Domestic Demand'!I41+'6. Lüderitz Industrial Demand'!F73</f>
        <v>22233481.317981526</v>
      </c>
      <c r="I43" s="45">
        <f>'5. Lüderitz Domestic Demand'!J41+'6. Lüderitz Industrial Demand'!F73</f>
        <v>24181140.919355847</v>
      </c>
      <c r="J43" s="45">
        <f>'5. Lüderitz Domestic Demand'!K41+'6. Lüderitz Industrial Demand'!G73</f>
        <v>24181140.919355847</v>
      </c>
      <c r="K43" s="45">
        <f>'5. Lüderitz Domestic Demand'!L41+'6. Lüderitz Industrial Demand'!G73</f>
        <v>24181140.919355847</v>
      </c>
      <c r="M43" s="44">
        <f t="shared" si="3"/>
        <v>2034</v>
      </c>
      <c r="N43" s="45">
        <f>'5. Lüderitz Domestic Demand'!O41+'6. Lüderitz Industrial Demand'!I73</f>
        <v>2906729.5520396992</v>
      </c>
      <c r="O43" s="45">
        <f>'5. Lüderitz Domestic Demand'!P41+'6. Lüderitz Industrial Demand'!J73</f>
        <v>3729676.9419078371</v>
      </c>
      <c r="P43" s="45">
        <f>'5. Lüderitz Domestic Demand'!Q41+'6. Lüderitz Industrial Demand'!K73</f>
        <v>2906729.5520396996</v>
      </c>
      <c r="Q43" s="45">
        <f>'5. Lüderitz Domestic Demand'!R41+'6. Lüderitz Industrial Demand'!K73</f>
        <v>3333120.903843496</v>
      </c>
      <c r="R43" s="45">
        <f>'5. Lüderitz Domestic Demand'!S41+'6. Lüderitz Industrial Demand'!L73</f>
        <v>3729676.9419078375</v>
      </c>
      <c r="S43" s="45">
        <f>'5. Lüderitz Domestic Demand'!T41+'6. Lüderitz Industrial Demand'!L73</f>
        <v>5351808.2937116353</v>
      </c>
      <c r="T43" s="45">
        <f>'5. Lüderitz Domestic Demand'!U41+'6. Lüderitz Industrial Demand'!M73</f>
        <v>5351808.2937116353</v>
      </c>
      <c r="U43" s="45">
        <f>'5. Lüderitz Domestic Demand'!V41+'6. Lüderitz Industrial Demand'!M73</f>
        <v>5351808.2937116353</v>
      </c>
      <c r="W43" s="61">
        <f t="shared" si="0"/>
        <v>1146100</v>
      </c>
      <c r="X43" s="61">
        <f t="shared" si="1"/>
        <v>1460000</v>
      </c>
    </row>
    <row r="44" spans="2:24" x14ac:dyDescent="0.2">
      <c r="B44" s="44">
        <f t="shared" si="2"/>
        <v>2035</v>
      </c>
      <c r="C44" s="45">
        <f>'6. Lüderitz Industrial Demand'!C42+'5. Lüderitz Domestic Demand'!D42</f>
        <v>1685998.8426399264</v>
      </c>
      <c r="D44" s="45">
        <f>'5. Lüderitz Domestic Demand'!E42+'6. Lüderitz Industrial Demand'!C74</f>
        <v>2941287.3226325326</v>
      </c>
      <c r="E44" s="45">
        <f>'5. Lüderitz Domestic Demand'!F42+'6. Lüderitz Industrial Demand'!D74</f>
        <v>3781516.6076879017</v>
      </c>
      <c r="F44" s="45">
        <f>'5. Lüderitz Domestic Demand'!G42+'6. Lüderitz Industrial Demand'!E74</f>
        <v>21450421.590603769</v>
      </c>
      <c r="G44" s="45">
        <f>'5. Lüderitz Domestic Demand'!H42+'6. Lüderitz Industrial Demand'!E74</f>
        <v>23438982.043606952</v>
      </c>
      <c r="H44" s="45">
        <f>'5. Lüderitz Domestic Demand'!I42+'6. Lüderitz Industrial Demand'!F74</f>
        <v>22290650.875659138</v>
      </c>
      <c r="I44" s="45">
        <f>'5. Lüderitz Domestic Demand'!J42+'6. Lüderitz Industrial Demand'!F74</f>
        <v>24279211.328662321</v>
      </c>
      <c r="J44" s="45">
        <f>'5. Lüderitz Domestic Demand'!K42+'6. Lüderitz Industrial Demand'!G74</f>
        <v>25739211.328662321</v>
      </c>
      <c r="K44" s="45">
        <f>'5. Lüderitz Domestic Demand'!L42+'6. Lüderitz Industrial Demand'!G74</f>
        <v>25739211.328662321</v>
      </c>
      <c r="M44" s="44">
        <f t="shared" si="3"/>
        <v>2035</v>
      </c>
      <c r="N44" s="45">
        <f>'5. Lüderitz Domestic Demand'!O42+'6. Lüderitz Industrial Demand'!I74</f>
        <v>2941287.3226325326</v>
      </c>
      <c r="O44" s="45">
        <f>'5. Lüderitz Domestic Demand'!P42+'6. Lüderitz Industrial Demand'!J74</f>
        <v>3781516.6076879017</v>
      </c>
      <c r="P44" s="45">
        <f>'5. Lüderitz Domestic Demand'!Q42+'6. Lüderitz Industrial Demand'!K74</f>
        <v>2941287.3226325335</v>
      </c>
      <c r="Q44" s="45">
        <f>'5. Lüderitz Domestic Demand'!R42+'6. Lüderitz Industrial Demand'!K74</f>
        <v>3376632.8928242093</v>
      </c>
      <c r="R44" s="45">
        <f>'5. Lüderitz Domestic Demand'!S42+'6. Lüderitz Industrial Demand'!L74</f>
        <v>3781516.6076879022</v>
      </c>
      <c r="S44" s="45">
        <f>'5. Lüderitz Domestic Demand'!T42+'6. Lüderitz Industrial Demand'!L74</f>
        <v>5437712.7178795794</v>
      </c>
      <c r="T44" s="45">
        <f>'5. Lüderitz Domestic Demand'!U42+'6. Lüderitz Industrial Demand'!M74</f>
        <v>5437712.7178795794</v>
      </c>
      <c r="U44" s="45">
        <f>'5. Lüderitz Domestic Demand'!V42+'6. Lüderitz Industrial Demand'!M74</f>
        <v>5437712.7178795794</v>
      </c>
      <c r="W44" s="61">
        <f t="shared" si="0"/>
        <v>1146100</v>
      </c>
      <c r="X44" s="61">
        <f t="shared" si="1"/>
        <v>1460000</v>
      </c>
    </row>
    <row r="45" spans="2:24" x14ac:dyDescent="0.2">
      <c r="B45" s="44">
        <f t="shared" si="2"/>
        <v>2036</v>
      </c>
      <c r="C45" s="45">
        <f>'6. Lüderitz Industrial Demand'!C43+'5. Lüderitz Domestic Demand'!D43</f>
        <v>1760009.6904199128</v>
      </c>
      <c r="D45" s="45">
        <f>'5. Lüderitz Domestic Demand'!E43+'6. Lüderitz Industrial Demand'!C75</f>
        <v>2976570.8064078158</v>
      </c>
      <c r="E45" s="45">
        <f>'5. Lüderitz Domestic Demand'!F43+'6. Lüderitz Industrial Demand'!D75</f>
        <v>3834444.9064493477</v>
      </c>
      <c r="F45" s="45">
        <f>'5. Lüderitz Domestic Demand'!G43+'6. Lüderitz Industrial Demand'!E75</f>
        <v>21491146.89400645</v>
      </c>
      <c r="G45" s="45">
        <f>'5. Lüderitz Domestic Demand'!H43+'6. Lüderitz Industrial Demand'!E75</f>
        <v>23521467.116522696</v>
      </c>
      <c r="H45" s="45">
        <f>'5. Lüderitz Domestic Demand'!I43+'6. Lüderitz Industrial Demand'!F75</f>
        <v>22349020.994047981</v>
      </c>
      <c r="I45" s="45">
        <f>'5. Lüderitz Domestic Demand'!J43+'6. Lüderitz Industrial Demand'!F75</f>
        <v>24379341.216564231</v>
      </c>
      <c r="J45" s="45">
        <f>'5. Lüderitz Domestic Demand'!K43+'6. Lüderitz Industrial Demand'!G75</f>
        <v>25839341.216564231</v>
      </c>
      <c r="K45" s="45">
        <f>'5. Lüderitz Domestic Demand'!L43+'6. Lüderitz Industrial Demand'!G75</f>
        <v>25839341.216564231</v>
      </c>
      <c r="M45" s="44">
        <f t="shared" si="3"/>
        <v>2036</v>
      </c>
      <c r="N45" s="45">
        <f>'5. Lüderitz Domestic Demand'!O43+'6. Lüderitz Industrial Demand'!I75</f>
        <v>2976570.8064078158</v>
      </c>
      <c r="O45" s="45">
        <f>'5. Lüderitz Domestic Demand'!P43+'6. Lüderitz Industrial Demand'!J75</f>
        <v>3834444.9064493477</v>
      </c>
      <c r="P45" s="45">
        <f>'5. Lüderitz Domestic Demand'!Q43+'6. Lüderitz Industrial Demand'!K75</f>
        <v>2976570.8064078167</v>
      </c>
      <c r="Q45" s="45">
        <f>'5. Lüderitz Domestic Demand'!R43+'6. Lüderitz Industrial Demand'!K75</f>
        <v>3421058.6335735177</v>
      </c>
      <c r="R45" s="45">
        <f>'5. Lüderitz Domestic Demand'!S43+'6. Lüderitz Industrial Demand'!L75</f>
        <v>3834444.9064493482</v>
      </c>
      <c r="S45" s="45">
        <f>'5. Lüderitz Domestic Demand'!T43+'6. Lüderitz Industrial Demand'!L75</f>
        <v>5525421.1349550504</v>
      </c>
      <c r="T45" s="45">
        <f>'5. Lüderitz Domestic Demand'!U43+'6. Lüderitz Industrial Demand'!M75</f>
        <v>5525421.1349550504</v>
      </c>
      <c r="U45" s="45">
        <f>'5. Lüderitz Domestic Demand'!V43+'6. Lüderitz Industrial Demand'!M75</f>
        <v>5525421.1349550504</v>
      </c>
      <c r="W45" s="61">
        <f t="shared" si="0"/>
        <v>1146100</v>
      </c>
      <c r="X45" s="61">
        <f t="shared" si="1"/>
        <v>1460000</v>
      </c>
    </row>
    <row r="46" spans="2:24" x14ac:dyDescent="0.2">
      <c r="B46" s="44">
        <f t="shared" si="2"/>
        <v>2037</v>
      </c>
      <c r="C46" s="45">
        <f>'6. Lüderitz Industrial Demand'!C44+'5. Lüderitz Domestic Demand'!D44</f>
        <v>1839697.9297837731</v>
      </c>
      <c r="D46" s="45">
        <f>'5. Lüderitz Domestic Demand'!E44+'6. Lüderitz Industrial Demand'!C76</f>
        <v>3012595.24334238</v>
      </c>
      <c r="E46" s="45">
        <f>'5. Lüderitz Domestic Demand'!F44+'6. Lüderitz Industrial Demand'!D76</f>
        <v>3888484.6994847837</v>
      </c>
      <c r="F46" s="45">
        <f>'5. Lüderitz Domestic Demand'!G44+'6. Lüderitz Industrial Demand'!E76</f>
        <v>21532727.428780586</v>
      </c>
      <c r="G46" s="45">
        <f>'5. Lüderitz Domestic Demand'!H44+'6. Lüderitz Industrial Demand'!E76</f>
        <v>23605684.375969674</v>
      </c>
      <c r="H46" s="45">
        <f>'5. Lüderitz Domestic Demand'!I44+'6. Lüderitz Industrial Demand'!F76</f>
        <v>22408616.884922989</v>
      </c>
      <c r="I46" s="45">
        <f>'5. Lüderitz Domestic Demand'!J44+'6. Lüderitz Industrial Demand'!F76</f>
        <v>24481573.832112078</v>
      </c>
      <c r="J46" s="45">
        <f>'5. Lüderitz Domestic Demand'!K44+'6. Lüderitz Industrial Demand'!G76</f>
        <v>25941573.832112078</v>
      </c>
      <c r="K46" s="45">
        <f>'5. Lüderitz Domestic Demand'!L44+'6. Lüderitz Industrial Demand'!G76</f>
        <v>25941573.832112078</v>
      </c>
      <c r="M46" s="44">
        <f t="shared" si="3"/>
        <v>2037</v>
      </c>
      <c r="N46" s="45">
        <f>'5. Lüderitz Domestic Demand'!O44+'6. Lüderitz Industrial Demand'!I76</f>
        <v>3012595.24334238</v>
      </c>
      <c r="O46" s="45">
        <f>'5. Lüderitz Domestic Demand'!P44+'6. Lüderitz Industrial Demand'!J76</f>
        <v>3888484.6994847837</v>
      </c>
      <c r="P46" s="45">
        <f>'5. Lüderitz Domestic Demand'!Q44+'6. Lüderitz Industrial Demand'!K76</f>
        <v>3012595.243342381</v>
      </c>
      <c r="Q46" s="45">
        <f>'5. Lüderitz Domestic Demand'!R44+'6. Lüderitz Industrial Demand'!K76</f>
        <v>3466417.3148785615</v>
      </c>
      <c r="R46" s="45">
        <f>'5. Lüderitz Domestic Demand'!S44+'6. Lüderitz Industrial Demand'!L76</f>
        <v>3888484.6994847842</v>
      </c>
      <c r="S46" s="45">
        <f>'5. Lüderitz Domestic Demand'!T44+'6. Lüderitz Industrial Demand'!L76</f>
        <v>5614971.4287891071</v>
      </c>
      <c r="T46" s="45">
        <f>'5. Lüderitz Domestic Demand'!U44+'6. Lüderitz Industrial Demand'!M76</f>
        <v>5614971.4287891071</v>
      </c>
      <c r="U46" s="45">
        <f>'5. Lüderitz Domestic Demand'!V44+'6. Lüderitz Industrial Demand'!M76</f>
        <v>5614971.4287891071</v>
      </c>
      <c r="W46" s="61">
        <f t="shared" si="0"/>
        <v>1146100</v>
      </c>
      <c r="X46" s="61">
        <f t="shared" si="1"/>
        <v>1460000</v>
      </c>
    </row>
    <row r="47" spans="2:24" x14ac:dyDescent="0.2">
      <c r="B47" s="44">
        <f t="shared" si="2"/>
        <v>2038</v>
      </c>
      <c r="C47" s="45">
        <f>'6. Lüderitz Industrial Demand'!C45+'5. Lüderitz Domestic Demand'!D45</f>
        <v>1925516.7781532635</v>
      </c>
      <c r="D47" s="45">
        <f>'5. Lüderitz Domestic Demand'!E45+'6. Lüderitz Industrial Demand'!C77</f>
        <v>3049376.1934525706</v>
      </c>
      <c r="E47" s="45">
        <f>'5. Lüderitz Domestic Demand'!F45+'6. Lüderitz Industrial Demand'!D77</f>
        <v>3943659.3281739643</v>
      </c>
      <c r="F47" s="45">
        <f>'5. Lüderitz Domestic Demand'!G45+'6. Lüderitz Industrial Demand'!E77</f>
        <v>21575181.154784977</v>
      </c>
      <c r="G47" s="45">
        <f>'5. Lüderitz Domestic Demand'!H45+'6. Lüderitz Industrial Demand'!E77</f>
        <v>23691670.197865035</v>
      </c>
      <c r="H47" s="45">
        <f>'5. Lüderitz Domestic Demand'!I45+'6. Lüderitz Industrial Demand'!F77</f>
        <v>22469464.289506372</v>
      </c>
      <c r="I47" s="45">
        <f>'5. Lüderitz Domestic Demand'!J45+'6. Lüderitz Industrial Demand'!F77</f>
        <v>24585953.33258643</v>
      </c>
      <c r="J47" s="45">
        <f>'5. Lüderitz Domestic Demand'!K45+'6. Lüderitz Industrial Demand'!G77</f>
        <v>26045953.33258643</v>
      </c>
      <c r="K47" s="45">
        <f>'5. Lüderitz Domestic Demand'!L45+'6. Lüderitz Industrial Demand'!G77</f>
        <v>26045953.33258643</v>
      </c>
      <c r="M47" s="44">
        <f t="shared" si="3"/>
        <v>2038</v>
      </c>
      <c r="N47" s="45">
        <f>'5. Lüderitz Domestic Demand'!O45+'6. Lüderitz Industrial Demand'!I77</f>
        <v>3049376.1934525706</v>
      </c>
      <c r="O47" s="45">
        <f>'5. Lüderitz Domestic Demand'!P45+'6. Lüderitz Industrial Demand'!J77</f>
        <v>3943659.3281739643</v>
      </c>
      <c r="P47" s="45">
        <f>'5. Lüderitz Domestic Demand'!Q45+'6. Lüderitz Industrial Demand'!K77</f>
        <v>3049376.1934525706</v>
      </c>
      <c r="Q47" s="45">
        <f>'5. Lüderitz Domestic Demand'!R45+'6. Lüderitz Industrial Demand'!K77</f>
        <v>3512728.5284910114</v>
      </c>
      <c r="R47" s="45">
        <f>'5. Lüderitz Domestic Demand'!S45+'6. Lüderitz Industrial Demand'!L77</f>
        <v>3943659.3281739648</v>
      </c>
      <c r="S47" s="45">
        <f>'5. Lüderitz Domestic Demand'!T45+'6. Lüderitz Industrial Demand'!L77</f>
        <v>5706402.2787936777</v>
      </c>
      <c r="T47" s="45">
        <f>'5. Lüderitz Domestic Demand'!U45+'6. Lüderitz Industrial Demand'!M77</f>
        <v>5706402.2787936777</v>
      </c>
      <c r="U47" s="45">
        <f>'5. Lüderitz Domestic Demand'!V45+'6. Lüderitz Industrial Demand'!M77</f>
        <v>5706402.2787936777</v>
      </c>
      <c r="W47" s="61">
        <f t="shared" si="0"/>
        <v>1146100</v>
      </c>
      <c r="X47" s="61">
        <f t="shared" si="1"/>
        <v>1460000</v>
      </c>
    </row>
    <row r="48" spans="2:24" x14ac:dyDescent="0.2">
      <c r="B48" s="44">
        <f t="shared" si="2"/>
        <v>2039</v>
      </c>
      <c r="C48" s="45">
        <f>'6. Lüderitz Industrial Demand'!C46+'5. Lüderitz Domestic Demand'!D46</f>
        <v>2017955.7064482602</v>
      </c>
      <c r="D48" s="45">
        <f>'5. Lüderitz Domestic Demand'!E46+'6. Lüderitz Industrial Demand'!C78</f>
        <v>3086929.5435150745</v>
      </c>
      <c r="E48" s="45">
        <f>'5. Lüderitz Domestic Demand'!F46+'6. Lüderitz Industrial Demand'!D78</f>
        <v>3999992.6240656176</v>
      </c>
      <c r="F48" s="45">
        <f>'5. Lüderitz Domestic Demand'!G46+'6. Lüderitz Industrial Demand'!E78</f>
        <v>21618526.409035459</v>
      </c>
      <c r="G48" s="45">
        <f>'5. Lüderitz Domestic Demand'!H46+'6. Lüderitz Industrial Demand'!E78</f>
        <v>23779461.722020201</v>
      </c>
      <c r="H48" s="45">
        <f>'5. Lüderitz Domestic Demand'!I46+'6. Lüderitz Industrial Demand'!F78</f>
        <v>22531589.489586007</v>
      </c>
      <c r="I48" s="45">
        <f>'5. Lüderitz Domestic Demand'!J46+'6. Lüderitz Industrial Demand'!F78</f>
        <v>24692524.802570745</v>
      </c>
      <c r="J48" s="45">
        <f>'5. Lüderitz Domestic Demand'!K46+'6. Lüderitz Industrial Demand'!G78</f>
        <v>35277524.802570745</v>
      </c>
      <c r="K48" s="45">
        <f>'5. Lüderitz Domestic Demand'!L46+'6. Lüderitz Industrial Demand'!G78</f>
        <v>35277524.802570745</v>
      </c>
      <c r="M48" s="44">
        <f t="shared" si="3"/>
        <v>2039</v>
      </c>
      <c r="N48" s="45">
        <f>'5. Lüderitz Domestic Demand'!O46+'6. Lüderitz Industrial Demand'!I78</f>
        <v>3086929.5435150745</v>
      </c>
      <c r="O48" s="45">
        <f>'5. Lüderitz Domestic Demand'!P46+'6. Lüderitz Industrial Demand'!J78</f>
        <v>3999992.6240656176</v>
      </c>
      <c r="P48" s="45">
        <f>'5. Lüderitz Domestic Demand'!Q46+'6. Lüderitz Industrial Demand'!K78</f>
        <v>3086929.543515075</v>
      </c>
      <c r="Q48" s="45">
        <f>'5. Lüderitz Domestic Demand'!R46+'6. Lüderitz Industrial Demand'!K78</f>
        <v>3560012.2775893225</v>
      </c>
      <c r="R48" s="45">
        <f>'5. Lüderitz Domestic Demand'!S46+'6. Lüderitz Industrial Demand'!L78</f>
        <v>3999992.624065618</v>
      </c>
      <c r="S48" s="45">
        <f>'5. Lüderitz Domestic Demand'!T46+'6. Lüderitz Industrial Demand'!L78</f>
        <v>5799753.1766483458</v>
      </c>
      <c r="T48" s="45">
        <f>'5. Lüderitz Domestic Demand'!U46+'6. Lüderitz Industrial Demand'!M78</f>
        <v>5799753.1766483458</v>
      </c>
      <c r="U48" s="45">
        <f>'5. Lüderitz Domestic Demand'!V46+'6. Lüderitz Industrial Demand'!M78</f>
        <v>5799753.1766483458</v>
      </c>
      <c r="W48" s="61">
        <f t="shared" si="0"/>
        <v>1146100</v>
      </c>
      <c r="X48" s="61">
        <f t="shared" si="1"/>
        <v>1460000</v>
      </c>
    </row>
    <row r="49" spans="2:24" x14ac:dyDescent="0.2">
      <c r="B49" s="44">
        <f t="shared" si="2"/>
        <v>2040</v>
      </c>
      <c r="C49" s="45">
        <f>'6. Lüderitz Industrial Demand'!C47+'5. Lüderitz Domestic Demand'!D47</f>
        <v>2117543.3393510277</v>
      </c>
      <c r="D49" s="45">
        <f>'5. Lüderitz Domestic Demand'!E47+'6. Lüderitz Industrial Demand'!C79</f>
        <v>3125271.5139288912</v>
      </c>
      <c r="E49" s="45">
        <f>'5. Lüderitz Domestic Demand'!F47+'6. Lüderitz Industrial Demand'!D79</f>
        <v>4057508.9191709957</v>
      </c>
      <c r="F49" s="45">
        <f>'5. Lüderitz Domestic Demand'!G47+'6. Lüderitz Industrial Demand'!E79</f>
        <v>21662781.913625207</v>
      </c>
      <c r="G49" s="45">
        <f>'5. Lüderitz Domestic Demand'!H47+'6. Lüderitz Industrial Demand'!E79</f>
        <v>23869096.868182626</v>
      </c>
      <c r="H49" s="45">
        <f>'5. Lüderitz Domestic Demand'!I47+'6. Lüderitz Industrial Demand'!F79</f>
        <v>22595019.318867311</v>
      </c>
      <c r="I49" s="45">
        <f>'5. Lüderitz Domestic Demand'!J47+'6. Lüderitz Industrial Demand'!F79</f>
        <v>24801334.27342473</v>
      </c>
      <c r="J49" s="45">
        <f>'5. Lüderitz Domestic Demand'!K47+'6. Lüderitz Industrial Demand'!G79</f>
        <v>35386334.27342473</v>
      </c>
      <c r="K49" s="45">
        <f>'5. Lüderitz Domestic Demand'!L47+'6. Lüderitz Industrial Demand'!G79</f>
        <v>35386334.27342473</v>
      </c>
      <c r="M49" s="44">
        <f t="shared" si="3"/>
        <v>2040</v>
      </c>
      <c r="N49" s="45">
        <f>'5. Lüderitz Domestic Demand'!O47+'6. Lüderitz Industrial Demand'!I79</f>
        <v>3125271.5139288912</v>
      </c>
      <c r="O49" s="45">
        <f>'5. Lüderitz Domestic Demand'!P47+'6. Lüderitz Industrial Demand'!J79</f>
        <v>4057508.9191709957</v>
      </c>
      <c r="P49" s="45">
        <f>'5. Lüderitz Domestic Demand'!Q47+'6. Lüderitz Industrial Demand'!K79</f>
        <v>3125271.5139288916</v>
      </c>
      <c r="Q49" s="45">
        <f>'5. Lüderitz Domestic Demand'!R47+'6. Lüderitz Industrial Demand'!K79</f>
        <v>3608288.9854186983</v>
      </c>
      <c r="R49" s="45">
        <f>'5. Lüderitz Domestic Demand'!S47+'6. Lüderitz Industrial Demand'!L79</f>
        <v>4057508.9191709962</v>
      </c>
      <c r="S49" s="45">
        <f>'5. Lüderitz Domestic Demand'!T47+'6. Lüderitz Industrial Demand'!L79</f>
        <v>5895064.4433579603</v>
      </c>
      <c r="T49" s="45">
        <f>'5. Lüderitz Domestic Demand'!U47+'6. Lüderitz Industrial Demand'!M79</f>
        <v>5895064.4433579603</v>
      </c>
      <c r="U49" s="45">
        <f>'5. Lüderitz Domestic Demand'!V47+'6. Lüderitz Industrial Demand'!M79</f>
        <v>5895064.4433579603</v>
      </c>
      <c r="W49" s="61">
        <f t="shared" si="0"/>
        <v>1146100</v>
      </c>
      <c r="X49" s="61">
        <f t="shared" si="1"/>
        <v>1460000</v>
      </c>
    </row>
    <row r="50" spans="2:24" x14ac:dyDescent="0.2">
      <c r="B50" s="44">
        <f t="shared" si="2"/>
        <v>2041</v>
      </c>
      <c r="C50" s="45">
        <f>'6. Lüderitz Industrial Demand'!C48+'5. Lüderitz Domestic Demand'!D48</f>
        <v>2224850.5875915643</v>
      </c>
      <c r="D50" s="45">
        <f>'5. Lüderitz Domestic Demand'!E48+'6. Lüderitz Industrial Demand'!C80</f>
        <v>3164418.6657213978</v>
      </c>
      <c r="E50" s="45">
        <f>'5. Lüderitz Domestic Demand'!F48+'6. Lüderitz Industrial Demand'!D80</f>
        <v>4116233.0564735867</v>
      </c>
      <c r="F50" s="45">
        <f>'5. Lüderitz Domestic Demand'!G48+'6. Lüderitz Industrial Demand'!E80</f>
        <v>21707966.783811335</v>
      </c>
      <c r="G50" s="45">
        <f>'5. Lüderitz Domestic Demand'!H48+'6. Lüderitz Industrial Demand'!E80</f>
        <v>23960614.352414459</v>
      </c>
      <c r="H50" s="45">
        <f>'5. Lüderitz Domestic Demand'!I48+'6. Lüderitz Industrial Demand'!F80</f>
        <v>22659781.174563527</v>
      </c>
      <c r="I50" s="45">
        <f>'5. Lüderitz Domestic Demand'!J48+'6. Lüderitz Industrial Demand'!F80</f>
        <v>24912428.743166652</v>
      </c>
      <c r="J50" s="45">
        <f>'5. Lüderitz Domestic Demand'!K48+'6. Lüderitz Industrial Demand'!G80</f>
        <v>35497428.743166655</v>
      </c>
      <c r="K50" s="45">
        <f>'5. Lüderitz Domestic Demand'!L48+'6. Lüderitz Industrial Demand'!G80</f>
        <v>35497428.743166655</v>
      </c>
      <c r="M50" s="44">
        <f t="shared" si="3"/>
        <v>2041</v>
      </c>
      <c r="N50" s="45">
        <f>'5. Lüderitz Domestic Demand'!O48+'6. Lüderitz Industrial Demand'!I80</f>
        <v>3164418.6657213978</v>
      </c>
      <c r="O50" s="45">
        <f>'5. Lüderitz Domestic Demand'!P48+'6. Lüderitz Industrial Demand'!J80</f>
        <v>4116233.0564735867</v>
      </c>
      <c r="P50" s="45">
        <f>'5. Lüderitz Domestic Demand'!Q48+'6. Lüderitz Industrial Demand'!K80</f>
        <v>3164418.6657213983</v>
      </c>
      <c r="Q50" s="45">
        <f>'5. Lüderitz Domestic Demand'!R48+'6. Lüderitz Industrial Demand'!K80</f>
        <v>3657579.5041124909</v>
      </c>
      <c r="R50" s="45">
        <f>'5. Lüderitz Domestic Demand'!S48+'6. Lüderitz Industrial Demand'!L80</f>
        <v>4116233.0564735872</v>
      </c>
      <c r="S50" s="45">
        <f>'5. Lüderitz Domestic Demand'!T48+'6. Lüderitz Industrial Demand'!L80</f>
        <v>5992377.2466684775</v>
      </c>
      <c r="T50" s="45">
        <f>'5. Lüderitz Domestic Demand'!U48+'6. Lüderitz Industrial Demand'!M80</f>
        <v>5992377.2466684775</v>
      </c>
      <c r="U50" s="45">
        <f>'5. Lüderitz Domestic Demand'!V48+'6. Lüderitz Industrial Demand'!M80</f>
        <v>5992377.2466684775</v>
      </c>
      <c r="W50" s="61">
        <f t="shared" si="0"/>
        <v>1146100</v>
      </c>
      <c r="X50" s="61">
        <f t="shared" si="1"/>
        <v>1460000</v>
      </c>
    </row>
    <row r="51" spans="2:24" x14ac:dyDescent="0.2">
      <c r="B51" s="44">
        <f t="shared" si="2"/>
        <v>2042</v>
      </c>
      <c r="C51" s="45">
        <f>'6. Lüderitz Industrial Demand'!C49+'5. Lüderitz Domestic Demand'!D49</f>
        <v>2340494.0308157131</v>
      </c>
      <c r="D51" s="45">
        <f>'5. Lüderitz Domestic Demand'!E49+'6. Lüderitz Industrial Demand'!C81</f>
        <v>3204387.9077015473</v>
      </c>
      <c r="E51" s="45">
        <f>'5. Lüderitz Domestic Demand'!F49+'6. Lüderitz Industrial Demand'!D81</f>
        <v>4176190.4006595318</v>
      </c>
      <c r="F51" s="45">
        <f>'5. Lüderitz Domestic Demand'!G49+'6. Lüderitz Industrial Demand'!E81</f>
        <v>21754100.536271371</v>
      </c>
      <c r="G51" s="45">
        <f>'5. Lüderitz Domestic Demand'!H49+'6. Lüderitz Industrial Demand'!E81</f>
        <v>24054053.703815166</v>
      </c>
      <c r="H51" s="45">
        <f>'5. Lüderitz Domestic Demand'!I49+'6. Lüderitz Industrial Demand'!F81</f>
        <v>22725903.029229358</v>
      </c>
      <c r="I51" s="45">
        <f>'5. Lüderitz Domestic Demand'!J49+'6. Lüderitz Industrial Demand'!F81</f>
        <v>25025856.196773149</v>
      </c>
      <c r="J51" s="45">
        <f>'5. Lüderitz Domestic Demand'!K49+'6. Lüderitz Industrial Demand'!G81</f>
        <v>43418206.196773157</v>
      </c>
      <c r="K51" s="45">
        <f>'5. Lüderitz Domestic Demand'!L49+'6. Lüderitz Industrial Demand'!G81</f>
        <v>43600414.196773157</v>
      </c>
      <c r="M51" s="44">
        <f t="shared" si="3"/>
        <v>2042</v>
      </c>
      <c r="N51" s="45">
        <f>'5. Lüderitz Domestic Demand'!O49+'6. Lüderitz Industrial Demand'!I81</f>
        <v>3204387.9077015473</v>
      </c>
      <c r="O51" s="45">
        <f>'5. Lüderitz Domestic Demand'!P49+'6. Lüderitz Industrial Demand'!J81</f>
        <v>4176190.4006595318</v>
      </c>
      <c r="P51" s="45">
        <f>'5. Lüderitz Domestic Demand'!Q49+'6. Lüderitz Industrial Demand'!K81</f>
        <v>3204387.9077015473</v>
      </c>
      <c r="Q51" s="45">
        <f>'5. Lüderitz Domestic Demand'!R49+'6. Lüderitz Industrial Demand'!K81</f>
        <v>3707905.123698853</v>
      </c>
      <c r="R51" s="45">
        <f>'5. Lüderitz Domestic Demand'!S49+'6. Lüderitz Industrial Demand'!L81</f>
        <v>4176190.4006595323</v>
      </c>
      <c r="S51" s="45">
        <f>'5. Lüderitz Domestic Demand'!T49+'6. Lüderitz Industrial Demand'!L81</f>
        <v>6091733.6188485157</v>
      </c>
      <c r="T51" s="45">
        <f>'5. Lüderitz Domestic Demand'!U49+'6. Lüderitz Industrial Demand'!M81</f>
        <v>6091733.6188485194</v>
      </c>
      <c r="U51" s="45">
        <f>'5. Lüderitz Domestic Demand'!V49+'6. Lüderitz Industrial Demand'!M81</f>
        <v>6330881.6188485194</v>
      </c>
      <c r="W51" s="61">
        <f t="shared" si="0"/>
        <v>1146100</v>
      </c>
      <c r="X51" s="61">
        <f t="shared" si="1"/>
        <v>1460000</v>
      </c>
    </row>
    <row r="52" spans="2:24" x14ac:dyDescent="0.2">
      <c r="B52" s="44">
        <f t="shared" si="2"/>
        <v>2043</v>
      </c>
      <c r="C52" s="45">
        <f>'6. Lüderitz Industrial Demand'!C50+'5. Lüderitz Domestic Demand'!D50</f>
        <v>2465139.5710826614</v>
      </c>
      <c r="D52" s="45">
        <f>'5. Lüderitz Domestic Demand'!E50+'6. Lüderitz Industrial Demand'!C82</f>
        <v>3245196.5037632799</v>
      </c>
      <c r="E52" s="45">
        <f>'5. Lüderitz Domestic Demand'!F50+'6. Lüderitz Industrial Demand'!D82</f>
        <v>4237406.8490733821</v>
      </c>
      <c r="F52" s="45">
        <f>'5. Lüderitz Domestic Demand'!G50+'6. Lüderitz Industrial Demand'!E82</f>
        <v>21801203.09753307</v>
      </c>
      <c r="G52" s="45">
        <f>'5. Lüderitz Domestic Demand'!H50+'6. Lüderitz Industrial Demand'!E82</f>
        <v>24149455.281595282</v>
      </c>
      <c r="H52" s="45">
        <f>'5. Lüderitz Domestic Demand'!I50+'6. Lüderitz Industrial Demand'!F82</f>
        <v>22793413.442843176</v>
      </c>
      <c r="I52" s="45">
        <f>'5. Lüderitz Domestic Demand'!J50+'6. Lüderitz Industrial Demand'!F82</f>
        <v>25141665.626905389</v>
      </c>
      <c r="J52" s="45">
        <f>'5. Lüderitz Domestic Demand'!K50+'6. Lüderitz Industrial Demand'!G82</f>
        <v>43537004.976905391</v>
      </c>
      <c r="K52" s="45">
        <f>'5. Lüderitz Domestic Demand'!L50+'6. Lüderitz Industrial Demand'!G82</f>
        <v>43723039.344905391</v>
      </c>
      <c r="M52" s="44">
        <f t="shared" si="3"/>
        <v>2043</v>
      </c>
      <c r="N52" s="45">
        <f>'5. Lüderitz Domestic Demand'!O50+'6. Lüderitz Industrial Demand'!I82</f>
        <v>3245196.5037632799</v>
      </c>
      <c r="O52" s="45">
        <f>'5. Lüderitz Domestic Demand'!P50+'6. Lüderitz Industrial Demand'!J82</f>
        <v>4237406.8490733821</v>
      </c>
      <c r="P52" s="45">
        <f>'5. Lüderitz Domestic Demand'!Q50+'6. Lüderitz Industrial Demand'!K82</f>
        <v>3245196.5037632799</v>
      </c>
      <c r="Q52" s="45">
        <f>'5. Lüderitz Domestic Demand'!R50+'6. Lüderitz Industrial Demand'!K82</f>
        <v>3759287.5812965292</v>
      </c>
      <c r="R52" s="45">
        <f>'5. Lüderitz Domestic Demand'!S50+'6. Lüderitz Industrial Demand'!L82</f>
        <v>4237406.8490733821</v>
      </c>
      <c r="S52" s="45">
        <f>'5. Lüderitz Domestic Demand'!T50+'6. Lüderitz Industrial Demand'!L82</f>
        <v>6193176.4748443346</v>
      </c>
      <c r="T52" s="45">
        <f>'5. Lüderitz Domestic Demand'!U50+'6. Lüderitz Industrial Demand'!M82</f>
        <v>6193176.4748443384</v>
      </c>
      <c r="U52" s="45">
        <f>'5. Lüderitz Domestic Demand'!V50+'6. Lüderitz Industrial Demand'!M82</f>
        <v>6437346.5828443393</v>
      </c>
      <c r="W52" s="61">
        <f t="shared" si="0"/>
        <v>1146100</v>
      </c>
      <c r="X52" s="61">
        <f t="shared" si="1"/>
        <v>1460000</v>
      </c>
    </row>
    <row r="53" spans="2:24" x14ac:dyDescent="0.2">
      <c r="B53" s="44">
        <f t="shared" si="2"/>
        <v>2044</v>
      </c>
      <c r="C53" s="45">
        <f>'6. Lüderitz Industrial Demand'!C51+'5. Lüderitz Domestic Demand'!D51</f>
        <v>2599506.3786421726</v>
      </c>
      <c r="D53" s="45">
        <f>'5. Lüderitz Domestic Demand'!E51+'6. Lüderitz Industrial Demand'!C83</f>
        <v>3286862.0803423086</v>
      </c>
      <c r="E53" s="45">
        <f>'5. Lüderitz Domestic Demand'!F51+'6. Lüderitz Industrial Demand'!D83</f>
        <v>4299908.8429039232</v>
      </c>
      <c r="F53" s="45">
        <f>'5. Lüderitz Domestic Demand'!G51+'6. Lüderitz Industrial Demand'!E83</f>
        <v>21849294.812581267</v>
      </c>
      <c r="G53" s="45">
        <f>'5. Lüderitz Domestic Demand'!H51+'6. Lüderitz Industrial Demand'!E83</f>
        <v>24246860.292508785</v>
      </c>
      <c r="H53" s="45">
        <f>'5. Lüderitz Domestic Demand'!I51+'6. Lüderitz Industrial Demand'!F83</f>
        <v>22862341.575142883</v>
      </c>
      <c r="I53" s="45">
        <f>'5. Lüderitz Domestic Demand'!J51+'6. Lüderitz Industrial Demand'!F83</f>
        <v>25259907.0550704</v>
      </c>
      <c r="J53" s="45">
        <f>'5. Lüderitz Domestic Demand'!K51+'6. Lüderitz Industrial Demand'!G83</f>
        <v>43658298.531420402</v>
      </c>
      <c r="K53" s="45">
        <f>'5. Lüderitz Domestic Demand'!L51+'6. Lüderitz Industrial Demand'!G83</f>
        <v>43848239.621148407</v>
      </c>
      <c r="M53" s="44">
        <f t="shared" si="3"/>
        <v>2044</v>
      </c>
      <c r="N53" s="45">
        <f>'5. Lüderitz Domestic Demand'!O51+'6. Lüderitz Industrial Demand'!I83</f>
        <v>3286862.0803423086</v>
      </c>
      <c r="O53" s="45">
        <f>'5. Lüderitz Domestic Demand'!P51+'6. Lüderitz Industrial Demand'!J83</f>
        <v>4299908.8429039232</v>
      </c>
      <c r="P53" s="45">
        <f>'5. Lüderitz Domestic Demand'!Q51+'6. Lüderitz Industrial Demand'!K83</f>
        <v>3286862.0803423086</v>
      </c>
      <c r="Q53" s="45">
        <f>'5. Lüderitz Domestic Demand'!R51+'6. Lüderitz Industrial Demand'!K83</f>
        <v>3811749.0705037559</v>
      </c>
      <c r="R53" s="45">
        <f>'5. Lüderitz Domestic Demand'!S51+'6. Lüderitz Industrial Demand'!L83</f>
        <v>4299908.8429039232</v>
      </c>
      <c r="S53" s="45">
        <f>'5. Lüderitz Domestic Demand'!T51+'6. Lüderitz Industrial Demand'!L83</f>
        <v>6296749.6308160657</v>
      </c>
      <c r="T53" s="45">
        <f>'5. Lüderitz Domestic Demand'!U51+'6. Lüderitz Industrial Demand'!M83</f>
        <v>6296749.6308160694</v>
      </c>
      <c r="U53" s="45">
        <f>'5. Lüderitz Domestic Demand'!V51+'6. Lüderitz Industrial Demand'!M83</f>
        <v>6546047.3110840702</v>
      </c>
      <c r="W53" s="61">
        <f t="shared" si="0"/>
        <v>1146100</v>
      </c>
      <c r="X53" s="61">
        <f t="shared" si="1"/>
        <v>1460000</v>
      </c>
    </row>
    <row r="54" spans="2:24" x14ac:dyDescent="0.2">
      <c r="B54" s="44">
        <f t="shared" si="2"/>
        <v>2045</v>
      </c>
      <c r="C54" s="45">
        <f>'6. Lüderitz Industrial Demand'!C52+'5. Lüderitz Domestic Demand'!D52</f>
        <v>2744371.1533739362</v>
      </c>
      <c r="D54" s="45">
        <f>'5. Lüderitz Domestic Demand'!E52+'6. Lüderitz Industrial Demand'!C84</f>
        <v>3329402.6340294969</v>
      </c>
      <c r="E54" s="45">
        <f>'5. Lüderitz Domestic Demand'!F52+'6. Lüderitz Industrial Demand'!D84</f>
        <v>4363723.3786049057</v>
      </c>
      <c r="F54" s="45">
        <f>'5. Lüderitz Domestic Demand'!G52+'6. Lüderitz Industrial Demand'!E84</f>
        <v>21898396.453645471</v>
      </c>
      <c r="G54" s="45">
        <f>'5. Lüderitz Domestic Demand'!H52+'6. Lüderitz Industrial Demand'!E84</f>
        <v>24346310.80865147</v>
      </c>
      <c r="H54" s="45">
        <f>'5. Lüderitz Domestic Demand'!I52+'6. Lüderitz Industrial Demand'!F84</f>
        <v>22932717.198220883</v>
      </c>
      <c r="I54" s="45">
        <f>'5. Lüderitz Domestic Demand'!J52+'6. Lüderitz Industrial Demand'!F84</f>
        <v>25380631.553226881</v>
      </c>
      <c r="J54" s="45">
        <f>'5. Lüderitz Domestic Demand'!K52+'6. Lüderitz Industrial Demand'!G84</f>
        <v>43782139.250580236</v>
      </c>
      <c r="K54" s="45">
        <f>'5. Lüderitz Domestic Demand'!L52+'6. Lüderitz Industrial Demand'!G84</f>
        <v>43976069.103192523</v>
      </c>
      <c r="M54" s="44">
        <f t="shared" si="3"/>
        <v>2045</v>
      </c>
      <c r="N54" s="45">
        <f>'5. Lüderitz Domestic Demand'!O52+'6. Lüderitz Industrial Demand'!I84</f>
        <v>3329402.6340294969</v>
      </c>
      <c r="O54" s="45">
        <f>'5. Lüderitz Domestic Demand'!P52+'6. Lüderitz Industrial Demand'!J84</f>
        <v>4363723.3786049057</v>
      </c>
      <c r="P54" s="45">
        <f>'5. Lüderitz Domestic Demand'!Q52+'6. Lüderitz Industrial Demand'!K84</f>
        <v>3329402.6340294974</v>
      </c>
      <c r="Q54" s="45">
        <f>'5. Lüderitz Domestic Demand'!R52+'6. Lüderitz Industrial Demand'!K84</f>
        <v>3865312.2509843353</v>
      </c>
      <c r="R54" s="45">
        <f>'5. Lüderitz Domestic Demand'!S52+'6. Lüderitz Industrial Demand'!L84</f>
        <v>4363723.3786049057</v>
      </c>
      <c r="S54" s="45">
        <f>'5. Lüderitz Domestic Demand'!T52+'6. Lüderitz Industrial Demand'!L84</f>
        <v>6402497.8230632031</v>
      </c>
      <c r="T54" s="45">
        <f>'5. Lüderitz Domestic Demand'!U52+'6. Lüderitz Industrial Demand'!M84</f>
        <v>6402497.8230632069</v>
      </c>
      <c r="U54" s="45">
        <f>'5. Lüderitz Domestic Demand'!V52+'6. Lüderitz Industrial Demand'!M84</f>
        <v>6657030.7546168352</v>
      </c>
      <c r="W54" s="61">
        <f t="shared" si="0"/>
        <v>1146100</v>
      </c>
      <c r="X54" s="61">
        <f t="shared" si="1"/>
        <v>1460000</v>
      </c>
    </row>
    <row r="55" spans="2:24" x14ac:dyDescent="0.2">
      <c r="B55" s="44">
        <f t="shared" si="2"/>
        <v>2046</v>
      </c>
      <c r="C55" s="45">
        <f>'6. Lüderitz Industrial Demand'!C53+'5. Lüderitz Domestic Demand'!D53</f>
        <v>2900572.727142002</v>
      </c>
      <c r="D55" s="45">
        <f>'5. Lüderitz Domestic Demand'!E53+'6. Lüderitz Industrial Demand'!C85</f>
        <v>3372836.5393441161</v>
      </c>
      <c r="E55" s="45">
        <f>'5. Lüderitz Domestic Demand'!F53+'6. Lüderitz Industrial Demand'!D85</f>
        <v>4428878.0195556087</v>
      </c>
      <c r="F55" s="45">
        <f>'5. Lüderitz Domestic Demand'!G53+'6. Lüderitz Industrial Demand'!E85</f>
        <v>21948529.229172029</v>
      </c>
      <c r="G55" s="45">
        <f>'5. Lüderitz Domestic Demand'!H53+'6. Lüderitz Industrial Demand'!E85</f>
        <v>24447849.78563315</v>
      </c>
      <c r="H55" s="45">
        <f>'5. Lüderitz Domestic Demand'!I53+'6. Lüderitz Industrial Demand'!F85</f>
        <v>23004570.709383521</v>
      </c>
      <c r="I55" s="45">
        <f>'5. Lüderitz Domestic Demand'!J53+'6. Lüderitz Industrial Demand'!F85</f>
        <v>25503891.265844643</v>
      </c>
      <c r="J55" s="45">
        <f>'5. Lüderitz Domestic Demand'!K53+'6. Lüderitz Industrial Demand'!G85</f>
        <v>43908580.62484242</v>
      </c>
      <c r="K55" s="45">
        <f>'5. Lüderitz Domestic Demand'!L53+'6. Lüderitz Industrial Demand'!G85</f>
        <v>44106583.004359566</v>
      </c>
      <c r="M55" s="44">
        <f t="shared" si="3"/>
        <v>2046</v>
      </c>
      <c r="N55" s="45">
        <f>'5. Lüderitz Domestic Demand'!O53+'6. Lüderitz Industrial Demand'!I85</f>
        <v>3372836.5393441161</v>
      </c>
      <c r="O55" s="45">
        <f>'5. Lüderitz Domestic Demand'!P53+'6. Lüderitz Industrial Demand'!J85</f>
        <v>4428878.0195556087</v>
      </c>
      <c r="P55" s="45">
        <f>'5. Lüderitz Domestic Demand'!Q53+'6. Lüderitz Industrial Demand'!K85</f>
        <v>3372836.5393441166</v>
      </c>
      <c r="Q55" s="45">
        <f>'5. Lüderitz Domestic Demand'!R53+'6. Lüderitz Industrial Demand'!K85</f>
        <v>3920000.2582550063</v>
      </c>
      <c r="R55" s="45">
        <f>'5. Lüderitz Domestic Demand'!S53+'6. Lüderitz Industrial Demand'!L85</f>
        <v>4428878.0195556097</v>
      </c>
      <c r="S55" s="45">
        <f>'5. Lüderitz Domestic Demand'!T53+'6. Lüderitz Industrial Demand'!L85</f>
        <v>6510466.7273475304</v>
      </c>
      <c r="T55" s="45">
        <f>'5. Lüderitz Domestic Demand'!U53+'6. Lüderitz Industrial Demand'!M85</f>
        <v>6510466.7273475341</v>
      </c>
      <c r="U55" s="45">
        <f>'5. Lüderitz Domestic Demand'!V53+'6. Lüderitz Industrial Demand'!M85</f>
        <v>6770344.850463788</v>
      </c>
      <c r="W55" s="61">
        <f t="shared" si="0"/>
        <v>1146100</v>
      </c>
      <c r="X55" s="61">
        <f t="shared" si="1"/>
        <v>1460000</v>
      </c>
    </row>
    <row r="56" spans="2:24" x14ac:dyDescent="0.2">
      <c r="B56" s="44">
        <f t="shared" si="2"/>
        <v>2047</v>
      </c>
      <c r="C56" s="45">
        <f>'6. Lüderitz Industrial Demand'!C54+'5. Lüderitz Domestic Demand'!D54</f>
        <v>3069017.0343375062</v>
      </c>
      <c r="D56" s="45">
        <f>'5. Lüderitz Domestic Demand'!E54+'6. Lüderitz Industrial Demand'!C86</f>
        <v>3417182.5566703426</v>
      </c>
      <c r="E56" s="45">
        <f>'5. Lüderitz Domestic Demand'!F54+'6. Lüderitz Industrial Demand'!D86</f>
        <v>4495400.9079662766</v>
      </c>
      <c r="F56" s="45">
        <f>'5. Lüderitz Domestic Demand'!G54+'6. Lüderitz Industrial Demand'!E86</f>
        <v>21999714.792984642</v>
      </c>
      <c r="G56" s="45">
        <f>'5. Lüderitz Domestic Demand'!H54+'6. Lüderitz Industrial Demand'!E86</f>
        <v>24551521.081131447</v>
      </c>
      <c r="H56" s="45">
        <f>'5. Lüderitz Domestic Demand'!I54+'6. Lüderitz Industrial Demand'!F86</f>
        <v>23077933.144280575</v>
      </c>
      <c r="I56" s="45">
        <f>'5. Lüderitz Domestic Demand'!J54+'6. Lüderitz Industrial Demand'!F86</f>
        <v>25629739.432427384</v>
      </c>
      <c r="J56" s="45">
        <f>'5. Lüderitz Domestic Demand'!K54+'6. Lüderitz Industrial Demand'!G86</f>
        <v>44037677.26796411</v>
      </c>
      <c r="K56" s="45">
        <f>'5. Lüderitz Domestic Demand'!L54+'6. Lüderitz Industrial Demand'!G86</f>
        <v>44239837.697451115</v>
      </c>
      <c r="M56" s="44">
        <f t="shared" si="3"/>
        <v>2047</v>
      </c>
      <c r="N56" s="45">
        <f>'5. Lüderitz Domestic Demand'!O54+'6. Lüderitz Industrial Demand'!I86</f>
        <v>3417182.5566703426</v>
      </c>
      <c r="O56" s="45">
        <f>'5. Lüderitz Domestic Demand'!P54+'6. Lüderitz Industrial Demand'!J86</f>
        <v>4495400.9079662766</v>
      </c>
      <c r="P56" s="45">
        <f>'5. Lüderitz Domestic Demand'!Q54+'6. Lüderitz Industrial Demand'!K86</f>
        <v>3417182.556670343</v>
      </c>
      <c r="Q56" s="45">
        <f>'5. Lüderitz Domestic Demand'!R54+'6. Lüderitz Industrial Demand'!K86</f>
        <v>3975836.7136783614</v>
      </c>
      <c r="R56" s="45">
        <f>'5. Lüderitz Domestic Demand'!S54+'6. Lüderitz Industrial Demand'!L86</f>
        <v>4495400.9079662766</v>
      </c>
      <c r="S56" s="45">
        <f>'5. Lüderitz Domestic Demand'!T54+'6. Lüderitz Industrial Demand'!L86</f>
        <v>6620702.9786218284</v>
      </c>
      <c r="T56" s="45">
        <f>'5. Lüderitz Domestic Demand'!U54+'6. Lüderitz Industrial Demand'!M86</f>
        <v>6620702.9786218321</v>
      </c>
      <c r="U56" s="45">
        <f>'5. Lüderitz Domestic Demand'!V54+'6. Lüderitz Industrial Demand'!M86</f>
        <v>6886038.5423235279</v>
      </c>
      <c r="W56" s="61">
        <f t="shared" si="0"/>
        <v>1146100</v>
      </c>
      <c r="X56" s="61">
        <f t="shared" si="1"/>
        <v>1460000</v>
      </c>
    </row>
    <row r="57" spans="2:24" x14ac:dyDescent="0.2">
      <c r="B57" s="44">
        <f t="shared" si="2"/>
        <v>2048</v>
      </c>
      <c r="C57" s="45">
        <f>'6. Lüderitz Industrial Demand'!C55+'5. Lüderitz Domestic Demand'!D55</f>
        <v>3250682.4800647469</v>
      </c>
      <c r="D57" s="45">
        <f>'5. Lüderitz Domestic Demand'!E55+'6. Lüderitz Industrial Demand'!C87</f>
        <v>3462459.8403604198</v>
      </c>
      <c r="E57" s="45">
        <f>'5. Lüderitz Domestic Demand'!F55+'6. Lüderitz Industrial Demand'!D87</f>
        <v>4563320.7770335674</v>
      </c>
      <c r="F57" s="45">
        <f>'5. Lüderitz Domestic Demand'!G55+'6. Lüderitz Industrial Demand'!E87</f>
        <v>22051975.253637318</v>
      </c>
      <c r="G57" s="45">
        <f>'5. Lüderitz Domestic Demand'!H55+'6. Lüderitz Industrial Demand'!E87</f>
        <v>24657369.473835208</v>
      </c>
      <c r="H57" s="45">
        <f>'5. Lüderitz Domestic Demand'!I55+'6. Lüderitz Industrial Demand'!F87</f>
        <v>23152836.190310467</v>
      </c>
      <c r="I57" s="45">
        <f>'5. Lüderitz Domestic Demand'!J55+'6. Lüderitz Industrial Demand'!F87</f>
        <v>25758230.410508357</v>
      </c>
      <c r="J57" s="45">
        <f>'5. Lüderitz Domestic Demand'!K55+'6. Lüderitz Industrial Demand'!G87</f>
        <v>44169484.94059135</v>
      </c>
      <c r="K57" s="45">
        <f>'5. Lüderitz Domestic Demand'!L55+'6. Lüderitz Industrial Demand'!G87</f>
        <v>44375890.739097588</v>
      </c>
      <c r="M57" s="44">
        <f t="shared" si="3"/>
        <v>2048</v>
      </c>
      <c r="N57" s="45">
        <f>'5. Lüderitz Domestic Demand'!O55+'6. Lüderitz Industrial Demand'!I87</f>
        <v>3462459.8403604198</v>
      </c>
      <c r="O57" s="45">
        <f>'5. Lüderitz Domestic Demand'!P55+'6. Lüderitz Industrial Demand'!J87</f>
        <v>4563320.7770335674</v>
      </c>
      <c r="P57" s="45">
        <f>'5. Lüderitz Domestic Demand'!Q55+'6. Lüderitz Industrial Demand'!K87</f>
        <v>3462459.8403604203</v>
      </c>
      <c r="Q57" s="45">
        <f>'5. Lüderitz Domestic Demand'!R55+'6. Lüderitz Industrial Demand'!K87</f>
        <v>4032845.7346656066</v>
      </c>
      <c r="R57" s="45">
        <f>'5. Lüderitz Domestic Demand'!S55+'6. Lüderitz Industrial Demand'!L87</f>
        <v>4563320.7770335684</v>
      </c>
      <c r="S57" s="45">
        <f>'5. Lüderitz Domestic Demand'!T55+'6. Lüderitz Industrial Demand'!L87</f>
        <v>6733254.1911728866</v>
      </c>
      <c r="T57" s="45">
        <f>'5. Lüderitz Domestic Demand'!U55+'6. Lüderitz Industrial Demand'!M87</f>
        <v>6733254.1911728904</v>
      </c>
      <c r="U57" s="45">
        <f>'5. Lüderitz Domestic Demand'!V55+'6. Lüderitz Industrial Demand'!M87</f>
        <v>7004161.8017123211</v>
      </c>
      <c r="W57" s="61">
        <f t="shared" si="0"/>
        <v>1146100</v>
      </c>
      <c r="X57" s="61">
        <f t="shared" si="1"/>
        <v>1460000</v>
      </c>
    </row>
    <row r="58" spans="2:24" x14ac:dyDescent="0.2">
      <c r="B58" s="44">
        <f>B57+1</f>
        <v>2049</v>
      </c>
      <c r="C58" s="45">
        <f>'6. Lüderitz Industrial Demand'!C56+'5. Lüderitz Domestic Demand'!D56</f>
        <v>3446625.7377820881</v>
      </c>
      <c r="D58" s="45">
        <f>'5. Lüderitz Domestic Demand'!E56+'6. Lüderitz Industrial Demand'!C88</f>
        <v>3508687.9470079886</v>
      </c>
      <c r="E58" s="45">
        <f>'5. Lüderitz Domestic Demand'!F56+'6. Lüderitz Industrial Demand'!D88</f>
        <v>4632666.9633512739</v>
      </c>
      <c r="F58" s="45">
        <f>'5. Lüderitz Domestic Demand'!G56+'6. Lüderitz Industrial Demand'!E88</f>
        <v>22105333.183963701</v>
      </c>
      <c r="G58" s="45">
        <f>'5. Lüderitz Domestic Demand'!H56+'6. Lüderitz Industrial Demand'!E88</f>
        <v>24765440.682785746</v>
      </c>
      <c r="H58" s="45">
        <f>'5. Lüderitz Domestic Demand'!I56+'6. Lüderitz Industrial Demand'!F88</f>
        <v>23229312.200306989</v>
      </c>
      <c r="I58" s="45">
        <f>'5. Lüderitz Domestic Demand'!J56+'6. Lüderitz Industrial Demand'!F88</f>
        <v>25889419.69912903</v>
      </c>
      <c r="J58" s="45">
        <f>'5. Lüderitz Domestic Demand'!K56+'6. Lüderitz Industrial Demand'!G88</f>
        <v>44304060.574343771</v>
      </c>
      <c r="K58" s="45">
        <f>'5. Lüderitz Domestic Demand'!L56+'6. Lüderitz Industrial Demand'!G88</f>
        <v>44514800.894618638</v>
      </c>
      <c r="M58" s="44">
        <f>M57+1</f>
        <v>2049</v>
      </c>
      <c r="N58" s="45">
        <f>'5. Lüderitz Domestic Demand'!O56+'6. Lüderitz Industrial Demand'!I88</f>
        <v>3508687.9470079886</v>
      </c>
      <c r="O58" s="45">
        <f>'5. Lüderitz Domestic Demand'!P56+'6. Lüderitz Industrial Demand'!J88</f>
        <v>4632666.9633512739</v>
      </c>
      <c r="P58" s="45">
        <f>'5. Lüderitz Domestic Demand'!Q56+'6. Lüderitz Industrial Demand'!K88</f>
        <v>3508687.947007989</v>
      </c>
      <c r="Q58" s="45">
        <f>'5. Lüderitz Domestic Demand'!R56+'6. Lüderitz Industrial Demand'!K88</f>
        <v>4091051.9450935847</v>
      </c>
      <c r="R58" s="45">
        <f>'5. Lüderitz Domestic Demand'!S56+'6. Lüderitz Industrial Demand'!L88</f>
        <v>4632666.9633512739</v>
      </c>
      <c r="S58" s="45">
        <f>'5. Lüderitz Domestic Demand'!T56+'6. Lüderitz Industrial Demand'!L88</f>
        <v>6848168.9791875174</v>
      </c>
      <c r="T58" s="45">
        <f>'5. Lüderitz Domestic Demand'!U56+'6. Lüderitz Industrial Demand'!M88</f>
        <v>6848168.9791875212</v>
      </c>
      <c r="U58" s="45">
        <f>'5. Lüderitz Domestic Demand'!V56+'6. Lüderitz Industrial Demand'!M88</f>
        <v>7124765.6495482801</v>
      </c>
      <c r="W58" s="61">
        <f t="shared" si="0"/>
        <v>1146100</v>
      </c>
      <c r="X58" s="61">
        <f t="shared" si="1"/>
        <v>1460000</v>
      </c>
    </row>
    <row r="59" spans="2:24" x14ac:dyDescent="0.2">
      <c r="B59" s="44">
        <f>B58+1</f>
        <v>2050</v>
      </c>
      <c r="C59" s="45">
        <f>'6. Lüderitz Industrial Demand'!C57+'5. Lüderitz Domestic Demand'!D57</f>
        <v>3657988.0107540651</v>
      </c>
      <c r="D59" s="45">
        <f>'5. Lüderitz Domestic Demand'!E57+'6. Lüderitz Industrial Demand'!C89</f>
        <v>3555886.8438951564</v>
      </c>
      <c r="E59" s="45">
        <f>'5. Lüderitz Domestic Demand'!F57+'6. Lüderitz Industrial Demand'!D89</f>
        <v>4703469.4195816498</v>
      </c>
      <c r="F59" s="45">
        <f>'5. Lüderitz Domestic Demand'!G57+'6. Lüderitz Industrial Demand'!E89</f>
        <v>22159811.630826939</v>
      </c>
      <c r="G59" s="45">
        <f>'5. Lüderitz Domestic Demand'!H57+'6. Lüderitz Industrial Demand'!E89</f>
        <v>24875781.387124248</v>
      </c>
      <c r="H59" s="45">
        <f>'5. Lüderitz Domestic Demand'!I57+'6. Lüderitz Industrial Demand'!F89</f>
        <v>23307394.206513435</v>
      </c>
      <c r="I59" s="45">
        <f>'5. Lüderitz Domestic Demand'!J57+'6. Lüderitz Industrial Demand'!F89</f>
        <v>26023363.96281074</v>
      </c>
      <c r="J59" s="45">
        <f>'5. Lüderitz Domestic Demand'!K57+'6. Lüderitz Industrial Demand'!G89</f>
        <v>44441462.296404988</v>
      </c>
      <c r="K59" s="45">
        <f>'5. Lüderitz Domestic Demand'!L57+'6. Lüderitz Industrial Demand'!G89</f>
        <v>44656628.163405627</v>
      </c>
      <c r="M59" s="44">
        <f>M58+1</f>
        <v>2050</v>
      </c>
      <c r="N59" s="45">
        <f>'5. Lüderitz Domestic Demand'!O57+'6. Lüderitz Industrial Demand'!I89</f>
        <v>3555886.8438951564</v>
      </c>
      <c r="O59" s="45">
        <f>'5. Lüderitz Domestic Demand'!P57+'6. Lüderitz Industrial Demand'!J89</f>
        <v>4703469.4195816498</v>
      </c>
      <c r="P59" s="45">
        <f>'5. Lüderitz Domestic Demand'!Q57+'6. Lüderitz Industrial Demand'!K89</f>
        <v>3555886.8438951569</v>
      </c>
      <c r="Q59" s="45">
        <f>'5. Lüderitz Domestic Demand'!R57+'6. Lüderitz Industrial Demand'!K89</f>
        <v>4150480.4859405495</v>
      </c>
      <c r="R59" s="45">
        <f>'5. Lüderitz Domestic Demand'!S57+'6. Lüderitz Industrial Demand'!L89</f>
        <v>4703469.4195816498</v>
      </c>
      <c r="S59" s="45">
        <f>'5. Lüderitz Domestic Demand'!T57+'6. Lüderitz Industrial Demand'!L89</f>
        <v>6965496.977750456</v>
      </c>
      <c r="T59" s="45">
        <f>'5. Lüderitz Domestic Demand'!U57+'6. Lüderitz Industrial Demand'!M89</f>
        <v>6965496.9777504597</v>
      </c>
      <c r="U59" s="45">
        <f>'5. Lüderitz Domestic Demand'!V57+'6. Lüderitz Industrial Demand'!M89</f>
        <v>7247902.1781887943</v>
      </c>
      <c r="W59" s="61">
        <f t="shared" si="0"/>
        <v>1146100</v>
      </c>
      <c r="X59" s="61">
        <f t="shared" si="1"/>
        <v>1460000</v>
      </c>
    </row>
    <row r="62" spans="2:24" s="39" customFormat="1" ht="23.45" customHeight="1" x14ac:dyDescent="0.2">
      <c r="B62" s="105" t="s">
        <v>310</v>
      </c>
      <c r="C62" s="105"/>
      <c r="D62" s="105"/>
      <c r="E62" s="105"/>
      <c r="F62" s="105"/>
      <c r="H62" s="105" t="s">
        <v>311</v>
      </c>
      <c r="I62" s="105"/>
      <c r="J62" s="105"/>
      <c r="K62" s="105"/>
      <c r="L62" s="105"/>
      <c r="M62" s="105"/>
      <c r="N62" s="105"/>
      <c r="O62" s="105"/>
      <c r="P62" s="105"/>
      <c r="Q62" s="105"/>
      <c r="R62" s="105"/>
      <c r="S62" s="105"/>
      <c r="T62" s="105"/>
    </row>
    <row r="64" spans="2:24" ht="69.75" customHeight="1" x14ac:dyDescent="0.2">
      <c r="B64" s="56" t="s">
        <v>34</v>
      </c>
      <c r="C64" s="57" t="s">
        <v>138</v>
      </c>
      <c r="D64" s="57" t="s">
        <v>139</v>
      </c>
      <c r="E64" s="57" t="s">
        <v>140</v>
      </c>
      <c r="F64" s="57" t="s">
        <v>141</v>
      </c>
      <c r="H64" s="56" t="s">
        <v>34</v>
      </c>
      <c r="I64" s="70" t="s">
        <v>144</v>
      </c>
      <c r="J64" s="70" t="s">
        <v>145</v>
      </c>
      <c r="K64" s="70" t="s">
        <v>146</v>
      </c>
      <c r="L64" s="70" t="s">
        <v>147</v>
      </c>
      <c r="N64" s="139" t="s">
        <v>142</v>
      </c>
      <c r="O64" s="139" t="s">
        <v>34</v>
      </c>
      <c r="P64" s="139" t="s">
        <v>143</v>
      </c>
      <c r="Q64" s="139"/>
      <c r="R64" s="139"/>
      <c r="S64" s="139"/>
      <c r="T64" s="139"/>
    </row>
    <row r="65" spans="2:20" x14ac:dyDescent="0.2">
      <c r="B65" s="49">
        <f>'3. Lüderitz Industry'!L12</f>
        <v>2027</v>
      </c>
      <c r="C65" s="61">
        <f>IF(B65&lt;'3. Lüderitz Industry'!$L$12,"",IF(B65&lt;'3. Lüderitz Industry'!$L$13,'3. Lüderitz Industry'!$R$12,'3. Lüderitz Industry'!$R$13))</f>
        <v>1825000</v>
      </c>
      <c r="D65" s="61">
        <f>IF(B65&lt;'3. Lüderitz Industry'!$L$12,"",IF(B65&lt;'3. Lüderitz Industry'!$L$13,'3. Lüderitz Industry'!$S$12,'3. Lüderitz Industry'!$S$13))</f>
        <v>2920000</v>
      </c>
      <c r="E65" s="61">
        <f>'6. Lüderitz Industrial Demand'!O34+(SUM('4. Lüderitz Population Calc'!Q33:R33)*DomesticDemandperCapita)</f>
        <v>2171750</v>
      </c>
      <c r="F65" s="61">
        <f t="shared" ref="F65:F88" si="4">G36-D36</f>
        <v>3082790.0000000005</v>
      </c>
      <c r="H65" s="49">
        <f>ScenarioStart</f>
        <v>2025</v>
      </c>
      <c r="I65" s="45">
        <f t="shared" ref="I65:I88" si="5">$Q$79</f>
        <v>3800000</v>
      </c>
      <c r="J65" s="45">
        <f t="shared" ref="J65:J88" si="6">$T$79</f>
        <v>5500000</v>
      </c>
      <c r="K65" s="45">
        <f t="shared" ref="K65:K88" si="7">$Q$81</f>
        <v>4400000</v>
      </c>
      <c r="L65" s="45">
        <f t="shared" ref="L65:L88" si="8">$T$81</f>
        <v>6700000</v>
      </c>
      <c r="N65" s="139"/>
      <c r="O65" s="139"/>
      <c r="P65" s="56" t="s">
        <v>77</v>
      </c>
      <c r="Q65" s="56" t="s">
        <v>78</v>
      </c>
      <c r="R65" s="56" t="s">
        <v>84</v>
      </c>
      <c r="S65" s="56" t="s">
        <v>86</v>
      </c>
      <c r="T65" s="56" t="s">
        <v>88</v>
      </c>
    </row>
    <row r="66" spans="2:20" ht="14.1" customHeight="1" x14ac:dyDescent="0.2">
      <c r="B66" s="44">
        <f t="shared" ref="B66:B88" si="9">B65+1</f>
        <v>2028</v>
      </c>
      <c r="C66" s="61">
        <f>IF(B66&lt;'3. Lüderitz Industry'!$L$12,"",IF(B66&lt;'3. Lüderitz Industry'!$L$13,'3. Lüderitz Industry'!$R$12,'3. Lüderitz Industry'!$R$13))</f>
        <v>1825000</v>
      </c>
      <c r="D66" s="61">
        <f>IF(B66&lt;'3. Lüderitz Industry'!$L$12,"",IF(B66&lt;'3. Lüderitz Industry'!$L$13,'3. Lüderitz Industry'!$S$12,'3. Lüderitz Industry'!$S$13))</f>
        <v>2920000</v>
      </c>
      <c r="E66" s="61">
        <f>'6. Lüderitz Industrial Demand'!O35+(SUM('4. Lüderitz Population Calc'!Q34:R34)*DomesticDemandperCapita)</f>
        <v>2171750</v>
      </c>
      <c r="F66" s="61">
        <f t="shared" si="4"/>
        <v>3116868.59</v>
      </c>
      <c r="H66" s="44">
        <f t="shared" ref="H66:H88" si="10">H65+1</f>
        <v>2026</v>
      </c>
      <c r="I66" s="45">
        <f t="shared" si="5"/>
        <v>3800000</v>
      </c>
      <c r="J66" s="45">
        <f t="shared" si="6"/>
        <v>5500000</v>
      </c>
      <c r="K66" s="45">
        <f t="shared" si="7"/>
        <v>4400000</v>
      </c>
      <c r="L66" s="45">
        <f t="shared" si="8"/>
        <v>6700000</v>
      </c>
      <c r="N66" s="108" t="s">
        <v>148</v>
      </c>
      <c r="O66" s="44">
        <v>2030</v>
      </c>
      <c r="P66" s="45">
        <f>N39-KP_Yield</f>
        <v>423858.15888211085</v>
      </c>
      <c r="Q66" s="45">
        <f>O39-KP_Yield</f>
        <v>1181160.1588821108</v>
      </c>
      <c r="R66" s="45">
        <f>Q39-KP_Yield</f>
        <v>1696522.8166502509</v>
      </c>
      <c r="S66" s="45">
        <f>S39-KP_Yield</f>
        <v>2453824.8166502505</v>
      </c>
      <c r="T66" s="45">
        <f>U39-KP_Yield</f>
        <v>2453824.8166502505</v>
      </c>
    </row>
    <row r="67" spans="2:20" x14ac:dyDescent="0.2">
      <c r="B67" s="44">
        <f t="shared" si="9"/>
        <v>2029</v>
      </c>
      <c r="C67" s="61">
        <f>IF(B67&lt;'3. Lüderitz Industry'!$L$12,"",IF(B67&lt;'3. Lüderitz Industry'!$L$13,'3. Lüderitz Industry'!$R$12,'3. Lüderitz Industry'!$R$13))</f>
        <v>1825000</v>
      </c>
      <c r="D67" s="61">
        <f>IF(B67&lt;'3. Lüderitz Industry'!$L$12,"",IF(B67&lt;'3. Lüderitz Industry'!$L$13,'3. Lüderitz Industry'!$S$12,'3. Lüderitz Industry'!$S$13))</f>
        <v>2920000</v>
      </c>
      <c r="E67" s="61">
        <f>'6. Lüderitz Industrial Demand'!O36+(SUM('4. Lüderitz Population Calc'!Q35:R35)*DomesticDemandperCapita)</f>
        <v>2171750</v>
      </c>
      <c r="F67" s="61">
        <f t="shared" si="4"/>
        <v>3151662.8303900003</v>
      </c>
      <c r="H67" s="44">
        <f t="shared" si="10"/>
        <v>2027</v>
      </c>
      <c r="I67" s="45">
        <f t="shared" si="5"/>
        <v>3800000</v>
      </c>
      <c r="J67" s="45">
        <f t="shared" si="6"/>
        <v>5500000</v>
      </c>
      <c r="K67" s="45">
        <f t="shared" si="7"/>
        <v>4400000</v>
      </c>
      <c r="L67" s="45">
        <f t="shared" si="8"/>
        <v>6700000</v>
      </c>
      <c r="N67" s="108"/>
      <c r="O67" s="44">
        <v>2035</v>
      </c>
      <c r="P67" s="45">
        <f>N44-KP_Yield</f>
        <v>1481287.3226325326</v>
      </c>
      <c r="Q67" s="45">
        <f>O44-KP_Yield</f>
        <v>2321516.6076879017</v>
      </c>
      <c r="R67" s="45">
        <f>Q44-KP_Yield</f>
        <v>1916632.8928242093</v>
      </c>
      <c r="S67" s="45">
        <f>S44-KP_Yield</f>
        <v>3977712.7178795794</v>
      </c>
      <c r="T67" s="45">
        <f>U44-KP_Yield</f>
        <v>3977712.7178795794</v>
      </c>
    </row>
    <row r="68" spans="2:20" x14ac:dyDescent="0.2">
      <c r="B68" s="44">
        <f t="shared" si="9"/>
        <v>2030</v>
      </c>
      <c r="C68" s="61">
        <f>IF(B68&lt;'3. Lüderitz Industry'!$L$12,"",IF(B68&lt;'3. Lüderitz Industry'!$L$13,'3. Lüderitz Industry'!$R$12,'3. Lüderitz Industry'!$R$13))</f>
        <v>1825000</v>
      </c>
      <c r="D68" s="61">
        <f>IF(B68&lt;'3. Lüderitz Industry'!$L$12,"",IF(B68&lt;'3. Lüderitz Industry'!$L$13,'3. Lüderitz Industry'!$S$12,'3. Lüderitz Industry'!$S$13))</f>
        <v>2920000</v>
      </c>
      <c r="E68" s="61">
        <f>'6. Lüderitz Industrial Demand'!O37+(SUM('4. Lüderitz Population Calc'!Q36:R36)*DomesticDemandperCapita)</f>
        <v>2171750</v>
      </c>
      <c r="F68" s="61">
        <f t="shared" si="4"/>
        <v>3187187.7498281901</v>
      </c>
      <c r="H68" s="44">
        <f t="shared" si="10"/>
        <v>2028</v>
      </c>
      <c r="I68" s="45">
        <f t="shared" si="5"/>
        <v>3800000</v>
      </c>
      <c r="J68" s="45">
        <f t="shared" si="6"/>
        <v>5500000</v>
      </c>
      <c r="K68" s="45">
        <f t="shared" si="7"/>
        <v>4400000</v>
      </c>
      <c r="L68" s="45">
        <f t="shared" si="8"/>
        <v>6700000</v>
      </c>
      <c r="N68" s="108"/>
      <c r="O68" s="44">
        <v>2040</v>
      </c>
      <c r="P68" s="45">
        <f>N49-KP_Yield</f>
        <v>1665271.5139288912</v>
      </c>
      <c r="Q68" s="45">
        <f>O49-KP_Yield</f>
        <v>2597508.9191709957</v>
      </c>
      <c r="R68" s="45">
        <f>Q49-KP_Yield</f>
        <v>2148288.9854186983</v>
      </c>
      <c r="S68" s="45">
        <f>S49-KP_Yield</f>
        <v>4435064.4433579603</v>
      </c>
      <c r="T68" s="45">
        <f>U49-KP_Yield</f>
        <v>4435064.4433579603</v>
      </c>
    </row>
    <row r="69" spans="2:20" x14ac:dyDescent="0.2">
      <c r="B69" s="44">
        <f t="shared" si="9"/>
        <v>2031</v>
      </c>
      <c r="C69" s="61">
        <f>IF(B69&lt;'3. Lüderitz Industry'!$L$12,"",IF(B69&lt;'3. Lüderitz Industry'!$L$13,'3. Lüderitz Industry'!$R$12,'3. Lüderitz Industry'!$R$13))</f>
        <v>10400000</v>
      </c>
      <c r="D69" s="61">
        <f>IF(B69&lt;'3. Lüderitz Industry'!$L$12,"",IF(B69&lt;'3. Lüderitz Industry'!$L$13,'3. Lüderitz Industry'!$S$12,'3. Lüderitz Industry'!$S$13))</f>
        <v>18250000</v>
      </c>
      <c r="E69" s="61">
        <f>'6. Lüderitz Industrial Demand'!O38+(SUM('4. Lüderitz Population Calc'!Q37:R37)*DomesticDemandperCapita)</f>
        <v>11296750</v>
      </c>
      <c r="F69" s="61">
        <f t="shared" si="4"/>
        <v>12348458.692574581</v>
      </c>
      <c r="H69" s="44">
        <f t="shared" si="10"/>
        <v>2029</v>
      </c>
      <c r="I69" s="45">
        <f t="shared" si="5"/>
        <v>3800000</v>
      </c>
      <c r="J69" s="45">
        <f t="shared" si="6"/>
        <v>5500000</v>
      </c>
      <c r="K69" s="45">
        <f t="shared" si="7"/>
        <v>4400000</v>
      </c>
      <c r="L69" s="45">
        <f t="shared" si="8"/>
        <v>6700000</v>
      </c>
      <c r="N69" s="108"/>
      <c r="O69" s="44">
        <v>2045</v>
      </c>
      <c r="P69" s="45">
        <f>N54-KP_Yield</f>
        <v>1869402.6340294969</v>
      </c>
      <c r="Q69" s="45">
        <f>O54-KP_Yield</f>
        <v>2903723.3786049057</v>
      </c>
      <c r="R69" s="45">
        <f>Q54-KP_Yield</f>
        <v>2405312.2509843353</v>
      </c>
      <c r="S69" s="45">
        <f>S54-KP_Yield</f>
        <v>4942497.8230632031</v>
      </c>
      <c r="T69" s="45">
        <f>U54-KP_Yield</f>
        <v>5197030.7546168352</v>
      </c>
    </row>
    <row r="70" spans="2:20" ht="14.1" customHeight="1" x14ac:dyDescent="0.2">
      <c r="B70" s="44">
        <f t="shared" si="9"/>
        <v>2032</v>
      </c>
      <c r="C70" s="61">
        <f>IF(B70&lt;'3. Lüderitz Industry'!$L$12,"",IF(B70&lt;'3. Lüderitz Industry'!$L$13,'3. Lüderitz Industry'!$R$12,'3. Lüderitz Industry'!$R$13))</f>
        <v>10400000</v>
      </c>
      <c r="D70" s="61">
        <f>IF(B70&lt;'3. Lüderitz Industry'!$L$12,"",IF(B70&lt;'3. Lüderitz Industry'!$L$13,'3. Lüderitz Industry'!$S$12,'3. Lüderitz Industry'!$S$13))</f>
        <v>18250000</v>
      </c>
      <c r="E70" s="61">
        <f>'6. Lüderitz Industrial Demand'!O39+(SUM('4. Lüderitz Population Calc'!Q38:R38)*DomesticDemandperCapita)</f>
        <v>11296750</v>
      </c>
      <c r="F70" s="61">
        <f t="shared" si="4"/>
        <v>12385491.325118646</v>
      </c>
      <c r="H70" s="44">
        <f t="shared" si="10"/>
        <v>2030</v>
      </c>
      <c r="I70" s="45">
        <f t="shared" si="5"/>
        <v>3800000</v>
      </c>
      <c r="J70" s="45">
        <f t="shared" si="6"/>
        <v>5500000</v>
      </c>
      <c r="K70" s="45">
        <f t="shared" si="7"/>
        <v>4400000</v>
      </c>
      <c r="L70" s="45">
        <f t="shared" si="8"/>
        <v>6700000</v>
      </c>
      <c r="N70" s="108" t="s">
        <v>149</v>
      </c>
      <c r="O70" s="44">
        <v>2030</v>
      </c>
      <c r="P70" s="45">
        <f>ROUNDUP(P66,-4)</f>
        <v>430000</v>
      </c>
      <c r="Q70" s="45">
        <f t="shared" ref="Q70:S70" si="11">ROUNDUP(Q66,-4)</f>
        <v>1190000</v>
      </c>
      <c r="R70" s="45">
        <f t="shared" si="11"/>
        <v>1700000</v>
      </c>
      <c r="S70" s="45">
        <f t="shared" si="11"/>
        <v>2460000</v>
      </c>
      <c r="T70" s="45">
        <f>ROUNDUP(T66,-4)</f>
        <v>2460000</v>
      </c>
    </row>
    <row r="71" spans="2:20" x14ac:dyDescent="0.2">
      <c r="B71" s="44">
        <f t="shared" si="9"/>
        <v>2033</v>
      </c>
      <c r="C71" s="61">
        <f>IF(B71&lt;'3. Lüderitz Industry'!$L$12,"",IF(B71&lt;'3. Lüderitz Industry'!$L$13,'3. Lüderitz Industry'!$R$12,'3. Lüderitz Industry'!$R$13))</f>
        <v>10400000</v>
      </c>
      <c r="D71" s="61">
        <f>IF(B71&lt;'3. Lüderitz Industry'!$L$12,"",IF(B71&lt;'3. Lüderitz Industry'!$L$13,'3. Lüderitz Industry'!$S$12,'3. Lüderitz Industry'!$S$13))</f>
        <v>18250000</v>
      </c>
      <c r="E71" s="61">
        <f>'6. Lüderitz Industrial Demand'!O40+(SUM('4. Lüderitz Population Calc'!Q39:R39)*DomesticDemandperCapita)</f>
        <v>11296750</v>
      </c>
      <c r="F71" s="61">
        <f t="shared" si="4"/>
        <v>12423301.642946139</v>
      </c>
      <c r="H71" s="44">
        <f t="shared" si="10"/>
        <v>2031</v>
      </c>
      <c r="I71" s="45">
        <f t="shared" si="5"/>
        <v>3800000</v>
      </c>
      <c r="J71" s="45">
        <f t="shared" si="6"/>
        <v>5500000</v>
      </c>
      <c r="K71" s="45">
        <f t="shared" si="7"/>
        <v>4400000</v>
      </c>
      <c r="L71" s="45">
        <f t="shared" si="8"/>
        <v>6700000</v>
      </c>
      <c r="N71" s="108"/>
      <c r="O71" s="44">
        <v>2035</v>
      </c>
      <c r="P71" s="45">
        <f t="shared" ref="P71:S73" si="12">ROUNDUP(P67,-4)</f>
        <v>1490000</v>
      </c>
      <c r="Q71" s="45">
        <f t="shared" si="12"/>
        <v>2330000</v>
      </c>
      <c r="R71" s="45">
        <f t="shared" si="12"/>
        <v>1920000</v>
      </c>
      <c r="S71" s="45">
        <f t="shared" si="12"/>
        <v>3980000</v>
      </c>
      <c r="T71" s="45">
        <f>ROUNDUP(T67,-4)</f>
        <v>3980000</v>
      </c>
    </row>
    <row r="72" spans="2:20" x14ac:dyDescent="0.2">
      <c r="B72" s="44">
        <f t="shared" si="9"/>
        <v>2034</v>
      </c>
      <c r="C72" s="61">
        <f>IF(B72&lt;'3. Lüderitz Industry'!$L$12,"",IF(B72&lt;'3. Lüderitz Industry'!$L$13,'3. Lüderitz Industry'!$R$12,'3. Lüderitz Industry'!$R$13))</f>
        <v>10400000</v>
      </c>
      <c r="D72" s="61">
        <f>IF(B72&lt;'3. Lüderitz Industry'!$L$12,"",IF(B72&lt;'3. Lüderitz Industry'!$L$13,'3. Lüderitz Industry'!$S$12,'3. Lüderitz Industry'!$S$13))</f>
        <v>18250000</v>
      </c>
      <c r="E72" s="61">
        <f>'6. Lüderitz Industrial Demand'!O41+(SUM('4. Lüderitz Population Calc'!Q40:R40)*DomesticDemandperCapita)</f>
        <v>18392350</v>
      </c>
      <c r="F72" s="61">
        <f t="shared" si="4"/>
        <v>20451463.977448009</v>
      </c>
      <c r="H72" s="44">
        <f t="shared" si="10"/>
        <v>2032</v>
      </c>
      <c r="I72" s="45">
        <f t="shared" si="5"/>
        <v>3800000</v>
      </c>
      <c r="J72" s="45">
        <f t="shared" si="6"/>
        <v>5500000</v>
      </c>
      <c r="K72" s="45">
        <f t="shared" si="7"/>
        <v>4400000</v>
      </c>
      <c r="L72" s="45">
        <f t="shared" si="8"/>
        <v>6700000</v>
      </c>
      <c r="N72" s="108"/>
      <c r="O72" s="44">
        <v>2040</v>
      </c>
      <c r="P72" s="45">
        <f t="shared" si="12"/>
        <v>1670000</v>
      </c>
      <c r="Q72" s="45">
        <f t="shared" si="12"/>
        <v>2600000</v>
      </c>
      <c r="R72" s="45">
        <f t="shared" si="12"/>
        <v>2150000</v>
      </c>
      <c r="S72" s="45">
        <f t="shared" si="12"/>
        <v>4440000</v>
      </c>
      <c r="T72" s="45">
        <f>ROUNDUP(T68,-4)</f>
        <v>4440000</v>
      </c>
    </row>
    <row r="73" spans="2:20" x14ac:dyDescent="0.2">
      <c r="B73" s="44">
        <f t="shared" si="9"/>
        <v>2035</v>
      </c>
      <c r="C73" s="61">
        <f>IF(B73&lt;'3. Lüderitz Industry'!$L$12,"",IF(B73&lt;'3. Lüderitz Industry'!$L$13,'3. Lüderitz Industry'!$R$12,'3. Lüderitz Industry'!$R$13))</f>
        <v>10400000</v>
      </c>
      <c r="D73" s="61">
        <f>IF(B73&lt;'3. Lüderitz Industry'!$L$12,"",IF(B73&lt;'3. Lüderitz Industry'!$L$13,'3. Lüderitz Industry'!$S$12,'3. Lüderitz Industry'!$S$13))</f>
        <v>18250000</v>
      </c>
      <c r="E73" s="61">
        <f>'6. Lüderitz Industrial Demand'!O42+(SUM('4. Lüderitz Population Calc'!Q41:R41)*DomesticDemandperCapita)</f>
        <v>18392350</v>
      </c>
      <c r="F73" s="61">
        <f t="shared" si="4"/>
        <v>20497694.720974419</v>
      </c>
      <c r="H73" s="44">
        <f t="shared" si="10"/>
        <v>2033</v>
      </c>
      <c r="I73" s="45">
        <f t="shared" si="5"/>
        <v>3800000</v>
      </c>
      <c r="J73" s="45">
        <f t="shared" si="6"/>
        <v>5500000</v>
      </c>
      <c r="K73" s="45">
        <f t="shared" si="7"/>
        <v>4400000</v>
      </c>
      <c r="L73" s="45">
        <f t="shared" si="8"/>
        <v>6700000</v>
      </c>
      <c r="N73" s="108"/>
      <c r="O73" s="44">
        <v>2045</v>
      </c>
      <c r="P73" s="45">
        <f t="shared" si="12"/>
        <v>1870000</v>
      </c>
      <c r="Q73" s="45">
        <f t="shared" si="12"/>
        <v>2910000</v>
      </c>
      <c r="R73" s="45">
        <f t="shared" si="12"/>
        <v>2410000</v>
      </c>
      <c r="S73" s="45">
        <f t="shared" si="12"/>
        <v>4950000</v>
      </c>
      <c r="T73" s="45">
        <f>ROUNDUP(T69,-4)</f>
        <v>5200000</v>
      </c>
    </row>
    <row r="74" spans="2:20" ht="14.1" customHeight="1" x14ac:dyDescent="0.2">
      <c r="B74" s="44">
        <f t="shared" si="9"/>
        <v>2036</v>
      </c>
      <c r="C74" s="61">
        <f>IF(B74&lt;'3. Lüderitz Industry'!$L$12,"",IF(B74&lt;'3. Lüderitz Industry'!$L$13,'3. Lüderitz Industry'!$R$12,'3. Lüderitz Industry'!$R$13))</f>
        <v>10400000</v>
      </c>
      <c r="D74" s="61">
        <f>IF(B74&lt;'3. Lüderitz Industry'!$L$12,"",IF(B74&lt;'3. Lüderitz Industry'!$L$13,'3. Lüderitz Industry'!$S$12,'3. Lüderitz Industry'!$S$13))</f>
        <v>18250000</v>
      </c>
      <c r="E74" s="61">
        <f>'6. Lüderitz Industrial Demand'!O43+(SUM('4. Lüderitz Population Calc'!Q42:R42)*DomesticDemandperCapita)</f>
        <v>18392350</v>
      </c>
      <c r="F74" s="61">
        <f t="shared" si="4"/>
        <v>20544896.310114879</v>
      </c>
      <c r="H74" s="44">
        <f t="shared" si="10"/>
        <v>2034</v>
      </c>
      <c r="I74" s="45">
        <f t="shared" si="5"/>
        <v>3800000</v>
      </c>
      <c r="J74" s="45">
        <f t="shared" si="6"/>
        <v>5500000</v>
      </c>
      <c r="K74" s="45">
        <f t="shared" si="7"/>
        <v>4400000</v>
      </c>
      <c r="L74" s="45">
        <f t="shared" si="8"/>
        <v>6700000</v>
      </c>
      <c r="N74" s="108" t="s">
        <v>150</v>
      </c>
      <c r="O74" s="44">
        <v>2030</v>
      </c>
      <c r="P74" s="45">
        <f>N39</f>
        <v>1883858.1588821108</v>
      </c>
      <c r="Q74" s="45">
        <f>O39</f>
        <v>2641160.1588821108</v>
      </c>
      <c r="R74" s="45">
        <f>Q39</f>
        <v>3156522.8166502509</v>
      </c>
      <c r="S74" s="45">
        <f>S39</f>
        <v>3913824.8166502505</v>
      </c>
      <c r="T74" s="45">
        <f>U39</f>
        <v>3913824.8166502505</v>
      </c>
    </row>
    <row r="75" spans="2:20" x14ac:dyDescent="0.2">
      <c r="B75" s="44">
        <f t="shared" si="9"/>
        <v>2037</v>
      </c>
      <c r="C75" s="61">
        <f>IF(B75&lt;'3. Lüderitz Industry'!$L$12,"",IF(B75&lt;'3. Lüderitz Industry'!$L$13,'3. Lüderitz Industry'!$R$12,'3. Lüderitz Industry'!$R$13))</f>
        <v>10400000</v>
      </c>
      <c r="D75" s="61">
        <f>IF(B75&lt;'3. Lüderitz Industry'!$L$12,"",IF(B75&lt;'3. Lüderitz Industry'!$L$13,'3. Lüderitz Industry'!$S$12,'3. Lüderitz Industry'!$S$13))</f>
        <v>18250000</v>
      </c>
      <c r="E75" s="61">
        <f>'6. Lüderitz Industrial Demand'!O44+(SUM('4. Lüderitz Population Calc'!Q43:R43)*DomesticDemandperCapita)</f>
        <v>18392350</v>
      </c>
      <c r="F75" s="61">
        <f t="shared" si="4"/>
        <v>20593089.132627293</v>
      </c>
      <c r="H75" s="44">
        <f t="shared" si="10"/>
        <v>2035</v>
      </c>
      <c r="I75" s="45">
        <f t="shared" si="5"/>
        <v>3800000</v>
      </c>
      <c r="J75" s="45">
        <f t="shared" si="6"/>
        <v>5500000</v>
      </c>
      <c r="K75" s="45">
        <f t="shared" si="7"/>
        <v>4400000</v>
      </c>
      <c r="L75" s="45">
        <f t="shared" si="8"/>
        <v>6700000</v>
      </c>
      <c r="N75" s="108"/>
      <c r="O75" s="44">
        <v>2035</v>
      </c>
      <c r="P75" s="45">
        <f>N44</f>
        <v>2941287.3226325326</v>
      </c>
      <c r="Q75" s="45">
        <f>O44</f>
        <v>3781516.6076879017</v>
      </c>
      <c r="R75" s="45">
        <f>Q44</f>
        <v>3376632.8928242093</v>
      </c>
      <c r="S75" s="45">
        <f>S44</f>
        <v>5437712.7178795794</v>
      </c>
      <c r="T75" s="45">
        <f>U44</f>
        <v>5437712.7178795794</v>
      </c>
    </row>
    <row r="76" spans="2:20" x14ac:dyDescent="0.2">
      <c r="B76" s="44">
        <f t="shared" si="9"/>
        <v>2038</v>
      </c>
      <c r="C76" s="61">
        <f>IF(B76&lt;'3. Lüderitz Industry'!$L$12,"",IF(B76&lt;'3. Lüderitz Industry'!$L$13,'3. Lüderitz Industry'!$R$12,'3. Lüderitz Industry'!$R$13))</f>
        <v>10400000</v>
      </c>
      <c r="D76" s="61">
        <f>IF(B76&lt;'3. Lüderitz Industry'!$L$12,"",IF(B76&lt;'3. Lüderitz Industry'!$L$13,'3. Lüderitz Industry'!$S$12,'3. Lüderitz Industry'!$S$13))</f>
        <v>18250000</v>
      </c>
      <c r="E76" s="61">
        <f>'6. Lüderitz Industrial Demand'!O45+(SUM('4. Lüderitz Population Calc'!Q44:R44)*DomesticDemandperCapita)</f>
        <v>18392350</v>
      </c>
      <c r="F76" s="61">
        <f t="shared" si="4"/>
        <v>20642294.004412465</v>
      </c>
      <c r="H76" s="44">
        <f t="shared" si="10"/>
        <v>2036</v>
      </c>
      <c r="I76" s="45">
        <f t="shared" si="5"/>
        <v>3800000</v>
      </c>
      <c r="J76" s="45">
        <f t="shared" si="6"/>
        <v>5500000</v>
      </c>
      <c r="K76" s="45">
        <f t="shared" si="7"/>
        <v>4400000</v>
      </c>
      <c r="L76" s="45">
        <f t="shared" si="8"/>
        <v>6700000</v>
      </c>
      <c r="N76" s="108"/>
      <c r="O76" s="44">
        <v>2040</v>
      </c>
      <c r="P76" s="45">
        <f>N49</f>
        <v>3125271.5139288912</v>
      </c>
      <c r="Q76" s="45">
        <f>O49</f>
        <v>4057508.9191709957</v>
      </c>
      <c r="R76" s="45">
        <f>Q49</f>
        <v>3608288.9854186983</v>
      </c>
      <c r="S76" s="45">
        <f>S49</f>
        <v>5895064.4433579603</v>
      </c>
      <c r="T76" s="45">
        <f>U49</f>
        <v>5895064.4433579603</v>
      </c>
    </row>
    <row r="77" spans="2:20" x14ac:dyDescent="0.2">
      <c r="B77" s="44">
        <f t="shared" si="9"/>
        <v>2039</v>
      </c>
      <c r="C77" s="61">
        <f>IF(B77&lt;'3. Lüderitz Industry'!$L$12,"",IF(B77&lt;'3. Lüderitz Industry'!$L$13,'3. Lüderitz Industry'!$R$12,'3. Lüderitz Industry'!$R$13))</f>
        <v>10400000</v>
      </c>
      <c r="D77" s="61">
        <f>IF(B77&lt;'3. Lüderitz Industry'!$L$12,"",IF(B77&lt;'3. Lüderitz Industry'!$L$13,'3. Lüderitz Industry'!$S$12,'3. Lüderitz Industry'!$S$13))</f>
        <v>18250000</v>
      </c>
      <c r="E77" s="61">
        <f>'6. Lüderitz Industrial Demand'!O46+(SUM('4. Lüderitz Population Calc'!Q45:R45)*DomesticDemandperCapita)</f>
        <v>18392350</v>
      </c>
      <c r="F77" s="61">
        <f t="shared" si="4"/>
        <v>20692532.178505126</v>
      </c>
      <c r="H77" s="44">
        <f t="shared" si="10"/>
        <v>2037</v>
      </c>
      <c r="I77" s="45">
        <f t="shared" si="5"/>
        <v>3800000</v>
      </c>
      <c r="J77" s="45">
        <f t="shared" si="6"/>
        <v>5500000</v>
      </c>
      <c r="K77" s="45">
        <f t="shared" si="7"/>
        <v>4400000</v>
      </c>
      <c r="L77" s="45">
        <f t="shared" si="8"/>
        <v>6700000</v>
      </c>
      <c r="N77" s="108"/>
      <c r="O77" s="44">
        <v>2045</v>
      </c>
      <c r="P77" s="45">
        <f>N54</f>
        <v>3329402.6340294969</v>
      </c>
      <c r="Q77" s="45">
        <f>O54</f>
        <v>4363723.3786049057</v>
      </c>
      <c r="R77" s="45">
        <f>Q54</f>
        <v>3865312.2509843353</v>
      </c>
      <c r="S77" s="45">
        <f>S54</f>
        <v>6402497.8230632031</v>
      </c>
      <c r="T77" s="45">
        <f>U54</f>
        <v>6657030.7546168352</v>
      </c>
    </row>
    <row r="78" spans="2:20" ht="14.1" customHeight="1" x14ac:dyDescent="0.2">
      <c r="B78" s="44">
        <f t="shared" si="9"/>
        <v>2040</v>
      </c>
      <c r="C78" s="61">
        <f>IF(B78&lt;'3. Lüderitz Industry'!$L$12,"",IF(B78&lt;'3. Lüderitz Industry'!$L$13,'3. Lüderitz Industry'!$R$12,'3. Lüderitz Industry'!$R$13))</f>
        <v>10400000</v>
      </c>
      <c r="D78" s="61">
        <f>IF(B78&lt;'3. Lüderitz Industry'!$L$12,"",IF(B78&lt;'3. Lüderitz Industry'!$L$13,'3. Lüderitz Industry'!$S$12,'3. Lüderitz Industry'!$S$13))</f>
        <v>18250000</v>
      </c>
      <c r="E78" s="61">
        <f>'6. Lüderitz Industrial Demand'!O47+(SUM('4. Lüderitz Population Calc'!Q46:R46)*DomesticDemandperCapita)</f>
        <v>18392350</v>
      </c>
      <c r="F78" s="61">
        <f t="shared" si="4"/>
        <v>20743825.354253735</v>
      </c>
      <c r="H78" s="44">
        <f t="shared" si="10"/>
        <v>2038</v>
      </c>
      <c r="I78" s="45">
        <f t="shared" si="5"/>
        <v>3800000</v>
      </c>
      <c r="J78" s="45">
        <f t="shared" si="6"/>
        <v>5500000</v>
      </c>
      <c r="K78" s="45">
        <f t="shared" si="7"/>
        <v>4400000</v>
      </c>
      <c r="L78" s="45">
        <f t="shared" si="8"/>
        <v>6700000</v>
      </c>
      <c r="N78" s="108" t="s">
        <v>151</v>
      </c>
      <c r="O78" s="44">
        <v>2030</v>
      </c>
      <c r="P78" s="45">
        <f>ROUNDUP(P74,-5)</f>
        <v>1900000</v>
      </c>
      <c r="Q78" s="45">
        <f>ROUNDUP(Q74,-5)</f>
        <v>2700000</v>
      </c>
      <c r="R78" s="45">
        <f>ROUNDUP(R74,-5)</f>
        <v>3200000</v>
      </c>
      <c r="S78" s="45">
        <f>ROUNDUP(S74,-5)</f>
        <v>4000000</v>
      </c>
      <c r="T78" s="45">
        <f>ROUNDUP(T74,-5)</f>
        <v>4000000</v>
      </c>
    </row>
    <row r="79" spans="2:20" x14ac:dyDescent="0.2">
      <c r="B79" s="44">
        <f t="shared" si="9"/>
        <v>2041</v>
      </c>
      <c r="C79" s="61">
        <f>IF(B79&lt;'3. Lüderitz Industry'!$L$12,"",IF(B79&lt;'3. Lüderitz Industry'!$L$13,'3. Lüderitz Industry'!$R$12,'3. Lüderitz Industry'!$R$13))</f>
        <v>10400000</v>
      </c>
      <c r="D79" s="61">
        <f>IF(B79&lt;'3. Lüderitz Industry'!$L$12,"",IF(B79&lt;'3. Lüderitz Industry'!$L$13,'3. Lüderitz Industry'!$S$12,'3. Lüderitz Industry'!$S$13))</f>
        <v>18250000</v>
      </c>
      <c r="E79" s="61">
        <f>'6. Lüderitz Industrial Demand'!O48+(SUM('4. Lüderitz Population Calc'!Q47:R47)*DomesticDemandperCapita)</f>
        <v>18392350</v>
      </c>
      <c r="F79" s="61">
        <f t="shared" si="4"/>
        <v>20796195.686693061</v>
      </c>
      <c r="H79" s="44">
        <f t="shared" si="10"/>
        <v>2039</v>
      </c>
      <c r="I79" s="45">
        <f t="shared" si="5"/>
        <v>3800000</v>
      </c>
      <c r="J79" s="45">
        <f t="shared" si="6"/>
        <v>5500000</v>
      </c>
      <c r="K79" s="45">
        <f t="shared" si="7"/>
        <v>4400000</v>
      </c>
      <c r="L79" s="45">
        <f t="shared" si="8"/>
        <v>6700000</v>
      </c>
      <c r="N79" s="108"/>
      <c r="O79" s="44">
        <v>2035</v>
      </c>
      <c r="P79" s="45">
        <f t="shared" ref="P79:T81" si="13">ROUNDUP(P75,-5)</f>
        <v>3000000</v>
      </c>
      <c r="Q79" s="45">
        <f t="shared" si="13"/>
        <v>3800000</v>
      </c>
      <c r="R79" s="45">
        <f t="shared" si="13"/>
        <v>3400000</v>
      </c>
      <c r="S79" s="45">
        <f t="shared" si="13"/>
        <v>5500000</v>
      </c>
      <c r="T79" s="45">
        <f t="shared" si="13"/>
        <v>5500000</v>
      </c>
    </row>
    <row r="80" spans="2:20" x14ac:dyDescent="0.2">
      <c r="B80" s="44">
        <f t="shared" si="9"/>
        <v>2042</v>
      </c>
      <c r="C80" s="61">
        <f>IF(B80&lt;'3. Lüderitz Industry'!$L$12,"",IF(B80&lt;'3. Lüderitz Industry'!$L$13,'3. Lüderitz Industry'!$R$12,'3. Lüderitz Industry'!$R$13))</f>
        <v>10400000</v>
      </c>
      <c r="D80" s="61">
        <f>IF(B80&lt;'3. Lüderitz Industry'!$L$12,"",IF(B80&lt;'3. Lüderitz Industry'!$L$13,'3. Lüderitz Industry'!$S$12,'3. Lüderitz Industry'!$S$13))</f>
        <v>18250000</v>
      </c>
      <c r="E80" s="61">
        <f>'6. Lüderitz Industrial Demand'!O49+(SUM('4. Lüderitz Population Calc'!Q48:R48)*DomesticDemandperCapita)</f>
        <v>18392350</v>
      </c>
      <c r="F80" s="61">
        <f t="shared" si="4"/>
        <v>20849665.796113618</v>
      </c>
      <c r="H80" s="44">
        <f t="shared" si="10"/>
        <v>2040</v>
      </c>
      <c r="I80" s="45">
        <f t="shared" si="5"/>
        <v>3800000</v>
      </c>
      <c r="J80" s="45">
        <f t="shared" si="6"/>
        <v>5500000</v>
      </c>
      <c r="K80" s="45">
        <f t="shared" si="7"/>
        <v>4400000</v>
      </c>
      <c r="L80" s="45">
        <f t="shared" si="8"/>
        <v>6700000</v>
      </c>
      <c r="N80" s="108"/>
      <c r="O80" s="44">
        <v>2040</v>
      </c>
      <c r="P80" s="45">
        <f t="shared" si="13"/>
        <v>3200000</v>
      </c>
      <c r="Q80" s="45">
        <f t="shared" si="13"/>
        <v>4100000</v>
      </c>
      <c r="R80" s="45">
        <f t="shared" si="13"/>
        <v>3700000</v>
      </c>
      <c r="S80" s="45">
        <f t="shared" si="13"/>
        <v>5900000</v>
      </c>
      <c r="T80" s="45">
        <f t="shared" si="13"/>
        <v>5900000</v>
      </c>
    </row>
    <row r="81" spans="2:20" x14ac:dyDescent="0.2">
      <c r="B81" s="44">
        <f t="shared" si="9"/>
        <v>2043</v>
      </c>
      <c r="C81" s="61">
        <f>IF(B81&lt;'3. Lüderitz Industry'!$L$12,"",IF(B81&lt;'3. Lüderitz Industry'!$L$13,'3. Lüderitz Industry'!$R$12,'3. Lüderitz Industry'!$R$13))</f>
        <v>10400000</v>
      </c>
      <c r="D81" s="61">
        <f>IF(B81&lt;'3. Lüderitz Industry'!$L$12,"",IF(B81&lt;'3. Lüderitz Industry'!$L$13,'3. Lüderitz Industry'!$S$12,'3. Lüderitz Industry'!$S$13))</f>
        <v>18250000</v>
      </c>
      <c r="E81" s="61">
        <f>'6. Lüderitz Industrial Demand'!O50+(SUM('4. Lüderitz Population Calc'!Q49:R49)*DomesticDemandperCapita)</f>
        <v>18392350</v>
      </c>
      <c r="F81" s="61">
        <f t="shared" si="4"/>
        <v>20904258.777832001</v>
      </c>
      <c r="H81" s="44">
        <f t="shared" si="10"/>
        <v>2041</v>
      </c>
      <c r="I81" s="45">
        <f t="shared" si="5"/>
        <v>3800000</v>
      </c>
      <c r="J81" s="45">
        <f t="shared" si="6"/>
        <v>5500000</v>
      </c>
      <c r="K81" s="45">
        <f t="shared" si="7"/>
        <v>4400000</v>
      </c>
      <c r="L81" s="45">
        <f t="shared" si="8"/>
        <v>6700000</v>
      </c>
      <c r="N81" s="108"/>
      <c r="O81" s="44">
        <v>2045</v>
      </c>
      <c r="P81" s="45">
        <f t="shared" si="13"/>
        <v>3400000</v>
      </c>
      <c r="Q81" s="45">
        <f t="shared" si="13"/>
        <v>4400000</v>
      </c>
      <c r="R81" s="45">
        <f t="shared" si="13"/>
        <v>3900000</v>
      </c>
      <c r="S81" s="45">
        <f t="shared" si="13"/>
        <v>6500000</v>
      </c>
      <c r="T81" s="45">
        <f t="shared" si="13"/>
        <v>6700000</v>
      </c>
    </row>
    <row r="82" spans="2:20" x14ac:dyDescent="0.2">
      <c r="B82" s="44">
        <f t="shared" si="9"/>
        <v>2044</v>
      </c>
      <c r="C82" s="61">
        <f>IF(B82&lt;'3. Lüderitz Industry'!$L$12,"",IF(B82&lt;'3. Lüderitz Industry'!$L$13,'3. Lüderitz Industry'!$R$12,'3. Lüderitz Industry'!$R$13))</f>
        <v>10400000</v>
      </c>
      <c r="D82" s="61">
        <f>IF(B82&lt;'3. Lüderitz Industry'!$L$12,"",IF(B82&lt;'3. Lüderitz Industry'!$L$13,'3. Lüderitz Industry'!$S$12,'3. Lüderitz Industry'!$S$13))</f>
        <v>18250000</v>
      </c>
      <c r="E82" s="61">
        <f>'6. Lüderitz Industrial Demand'!O51+(SUM('4. Lüderitz Population Calc'!Q50:R50)*DomesticDemandperCapita)</f>
        <v>18392350</v>
      </c>
      <c r="F82" s="61">
        <f t="shared" si="4"/>
        <v>20959998.212166477</v>
      </c>
      <c r="H82" s="44">
        <f t="shared" si="10"/>
        <v>2042</v>
      </c>
      <c r="I82" s="45">
        <f t="shared" si="5"/>
        <v>3800000</v>
      </c>
      <c r="J82" s="45">
        <f t="shared" si="6"/>
        <v>5500000</v>
      </c>
      <c r="K82" s="45">
        <f t="shared" si="7"/>
        <v>4400000</v>
      </c>
      <c r="L82" s="45">
        <f t="shared" si="8"/>
        <v>6700000</v>
      </c>
    </row>
    <row r="83" spans="2:20" x14ac:dyDescent="0.2">
      <c r="B83" s="44">
        <f t="shared" si="9"/>
        <v>2045</v>
      </c>
      <c r="C83" s="61">
        <f>IF(B83&lt;'3. Lüderitz Industry'!$L$12,"",IF(B83&lt;'3. Lüderitz Industry'!$L$13,'3. Lüderitz Industry'!$R$12,'3. Lüderitz Industry'!$R$13))</f>
        <v>10400000</v>
      </c>
      <c r="D83" s="61">
        <f>IF(B83&lt;'3. Lüderitz Industry'!$L$12,"",IF(B83&lt;'3. Lüderitz Industry'!$L$13,'3. Lüderitz Industry'!$S$12,'3. Lüderitz Industry'!$S$13))</f>
        <v>18250000</v>
      </c>
      <c r="E83" s="61">
        <f>'6. Lüderitz Industrial Demand'!O52+(SUM('4. Lüderitz Population Calc'!Q51:R51)*DomesticDemandperCapita)</f>
        <v>18392350</v>
      </c>
      <c r="F83" s="61">
        <f t="shared" si="4"/>
        <v>21016908.174621973</v>
      </c>
      <c r="H83" s="44">
        <f t="shared" si="10"/>
        <v>2043</v>
      </c>
      <c r="I83" s="45">
        <f t="shared" si="5"/>
        <v>3800000</v>
      </c>
      <c r="J83" s="45">
        <f t="shared" si="6"/>
        <v>5500000</v>
      </c>
      <c r="K83" s="45">
        <f t="shared" si="7"/>
        <v>4400000</v>
      </c>
      <c r="L83" s="45">
        <f t="shared" si="8"/>
        <v>6700000</v>
      </c>
    </row>
    <row r="84" spans="2:20" ht="15" x14ac:dyDescent="0.25">
      <c r="B84" s="44">
        <f t="shared" si="9"/>
        <v>2046</v>
      </c>
      <c r="C84" s="61">
        <f>IF(B84&lt;'3. Lüderitz Industry'!$L$12,"",IF(B84&lt;'3. Lüderitz Industry'!$L$13,'3. Lüderitz Industry'!$R$12,'3. Lüderitz Industry'!$R$13))</f>
        <v>10400000</v>
      </c>
      <c r="D84" s="61">
        <f>IF(B84&lt;'3. Lüderitz Industry'!$L$12,"",IF(B84&lt;'3. Lüderitz Industry'!$L$13,'3. Lüderitz Industry'!$S$12,'3. Lüderitz Industry'!$S$13))</f>
        <v>18250000</v>
      </c>
      <c r="E84" s="61">
        <f>'6. Lüderitz Industrial Demand'!O53+(SUM('4. Lüderitz Population Calc'!Q52:R52)*DomesticDemandperCapita)</f>
        <v>18392350</v>
      </c>
      <c r="F84" s="61">
        <f t="shared" si="4"/>
        <v>21075013.246289033</v>
      </c>
      <c r="H84" s="44">
        <f t="shared" si="10"/>
        <v>2044</v>
      </c>
      <c r="I84" s="45">
        <f t="shared" si="5"/>
        <v>3800000</v>
      </c>
      <c r="J84" s="45">
        <f t="shared" si="6"/>
        <v>5500000</v>
      </c>
      <c r="K84" s="45">
        <f t="shared" si="7"/>
        <v>4400000</v>
      </c>
      <c r="L84" s="45">
        <f t="shared" si="8"/>
        <v>6700000</v>
      </c>
      <c r="N84" s="134" t="s">
        <v>312</v>
      </c>
      <c r="O84" s="134"/>
      <c r="P84" s="134"/>
    </row>
    <row r="85" spans="2:20" ht="15" x14ac:dyDescent="0.25">
      <c r="B85" s="44">
        <f t="shared" si="9"/>
        <v>2047</v>
      </c>
      <c r="C85" s="61">
        <f>IF(B85&lt;'3. Lüderitz Industry'!$L$12,"",IF(B85&lt;'3. Lüderitz Industry'!$L$13,'3. Lüderitz Industry'!$R$12,'3. Lüderitz Industry'!$R$13))</f>
        <v>10400000</v>
      </c>
      <c r="D85" s="61">
        <f>IF(B85&lt;'3. Lüderitz Industry'!$L$12,"",IF(B85&lt;'3. Lüderitz Industry'!$L$13,'3. Lüderitz Industry'!$S$12,'3. Lüderitz Industry'!$S$13))</f>
        <v>18250000</v>
      </c>
      <c r="E85" s="61">
        <f>'6. Lüderitz Industrial Demand'!O54+(SUM('4. Lüderitz Population Calc'!Q53:R53)*DomesticDemandperCapita)</f>
        <v>18392350</v>
      </c>
      <c r="F85" s="61">
        <f t="shared" si="4"/>
        <v>21134338.524461105</v>
      </c>
      <c r="H85" s="44">
        <f t="shared" si="10"/>
        <v>2045</v>
      </c>
      <c r="I85" s="45">
        <f t="shared" si="5"/>
        <v>3800000</v>
      </c>
      <c r="J85" s="45">
        <f t="shared" si="6"/>
        <v>5500000</v>
      </c>
      <c r="K85" s="45">
        <f t="shared" si="7"/>
        <v>4400000</v>
      </c>
      <c r="L85" s="45">
        <f t="shared" si="8"/>
        <v>6700000</v>
      </c>
      <c r="N85" s="74"/>
      <c r="O85" s="69" t="s">
        <v>313</v>
      </c>
      <c r="P85" s="69" t="s">
        <v>314</v>
      </c>
    </row>
    <row r="86" spans="2:20" x14ac:dyDescent="0.2">
      <c r="B86" s="44">
        <f t="shared" si="9"/>
        <v>2048</v>
      </c>
      <c r="C86" s="61">
        <f>IF(B86&lt;'3. Lüderitz Industry'!$L$12,"",IF(B86&lt;'3. Lüderitz Industry'!$L$13,'3. Lüderitz Industry'!$R$12,'3. Lüderitz Industry'!$R$13))</f>
        <v>10400000</v>
      </c>
      <c r="D86" s="61">
        <f>IF(B86&lt;'3. Lüderitz Industry'!$L$12,"",IF(B86&lt;'3. Lüderitz Industry'!$L$13,'3. Lüderitz Industry'!$S$12,'3. Lüderitz Industry'!$S$13))</f>
        <v>18250000</v>
      </c>
      <c r="E86" s="61">
        <f>'6. Lüderitz Industrial Demand'!O55+(SUM('4. Lüderitz Population Calc'!Q54:R54)*DomesticDemandperCapita)</f>
        <v>18392350</v>
      </c>
      <c r="F86" s="61">
        <f t="shared" si="4"/>
        <v>21194909.63347479</v>
      </c>
      <c r="H86" s="44">
        <f t="shared" si="10"/>
        <v>2046</v>
      </c>
      <c r="I86" s="45">
        <f t="shared" si="5"/>
        <v>3800000</v>
      </c>
      <c r="J86" s="45">
        <f t="shared" si="6"/>
        <v>5500000</v>
      </c>
      <c r="K86" s="45">
        <f t="shared" si="7"/>
        <v>4400000</v>
      </c>
      <c r="L86" s="45">
        <f t="shared" si="8"/>
        <v>6700000</v>
      </c>
      <c r="N86" s="25">
        <v>2026</v>
      </c>
      <c r="O86" s="61">
        <f t="shared" ref="O86:O91" si="14">U35-X35</f>
        <v>244571.71285714279</v>
      </c>
      <c r="P86" s="71">
        <f>O86/365</f>
        <v>670.05948727984321</v>
      </c>
    </row>
    <row r="87" spans="2:20" x14ac:dyDescent="0.2">
      <c r="B87" s="44">
        <f t="shared" si="9"/>
        <v>2049</v>
      </c>
      <c r="C87" s="61">
        <f>IF(B87&lt;'3. Lüderitz Industry'!$L$12,"",IF(B87&lt;'3. Lüderitz Industry'!$L$13,'3. Lüderitz Industry'!$R$12,'3. Lüderitz Industry'!$R$13))</f>
        <v>10400000</v>
      </c>
      <c r="D87" s="61">
        <f>IF(B87&lt;'3. Lüderitz Industry'!$L$12,"",IF(B87&lt;'3. Lüderitz Industry'!$L$13,'3. Lüderitz Industry'!$S$12,'3. Lüderitz Industry'!$S$13))</f>
        <v>18250000</v>
      </c>
      <c r="E87" s="61">
        <f>'6. Lüderitz Industrial Demand'!O56+(SUM('4. Lüderitz Population Calc'!Q55:R55)*DomesticDemandperCapita)</f>
        <v>18392350</v>
      </c>
      <c r="F87" s="61">
        <f t="shared" si="4"/>
        <v>21256752.735777758</v>
      </c>
      <c r="H87" s="44">
        <f t="shared" si="10"/>
        <v>2047</v>
      </c>
      <c r="I87" s="45">
        <f t="shared" si="5"/>
        <v>3800000</v>
      </c>
      <c r="J87" s="45">
        <f t="shared" si="6"/>
        <v>5500000</v>
      </c>
      <c r="K87" s="45">
        <f t="shared" si="7"/>
        <v>4400000</v>
      </c>
      <c r="L87" s="45">
        <f t="shared" si="8"/>
        <v>6700000</v>
      </c>
      <c r="N87" s="25">
        <v>2027</v>
      </c>
      <c r="O87" s="61">
        <f t="shared" si="14"/>
        <v>1495052.4338271427</v>
      </c>
      <c r="P87" s="71">
        <f t="shared" ref="P87:P91" si="15">O87/365</f>
        <v>4096.0340652798432</v>
      </c>
    </row>
    <row r="88" spans="2:20" x14ac:dyDescent="0.2">
      <c r="B88" s="44">
        <f t="shared" si="9"/>
        <v>2050</v>
      </c>
      <c r="C88" s="61">
        <f>IF(B88&lt;'3. Lüderitz Industry'!$L$12,"",IF(B88&lt;'3. Lüderitz Industry'!$L$13,'3. Lüderitz Industry'!$R$12,'3. Lüderitz Industry'!$R$13))</f>
        <v>10400000</v>
      </c>
      <c r="D88" s="61">
        <f>IF(B88&lt;'3. Lüderitz Industry'!$L$12,"",IF(B88&lt;'3. Lüderitz Industry'!$L$13,'3. Lüderitz Industry'!$S$12,'3. Lüderitz Industry'!$S$13))</f>
        <v>18250000</v>
      </c>
      <c r="E88" s="61">
        <f>'6. Lüderitz Industrial Demand'!O57+(SUM('4. Lüderitz Population Calc'!Q56:R56)*DomesticDemandperCapita)</f>
        <v>18392350</v>
      </c>
      <c r="F88" s="61">
        <f t="shared" si="4"/>
        <v>21319894.543229092</v>
      </c>
      <c r="H88" s="44">
        <f t="shared" si="10"/>
        <v>2048</v>
      </c>
      <c r="I88" s="45">
        <f t="shared" si="5"/>
        <v>3800000</v>
      </c>
      <c r="J88" s="45">
        <f t="shared" si="6"/>
        <v>5500000</v>
      </c>
      <c r="K88" s="45">
        <f t="shared" si="7"/>
        <v>4400000</v>
      </c>
      <c r="L88" s="45">
        <f t="shared" si="8"/>
        <v>6700000</v>
      </c>
      <c r="N88" s="25">
        <v>2028</v>
      </c>
      <c r="O88" s="61">
        <f t="shared" si="14"/>
        <v>1564152.7899375129</v>
      </c>
      <c r="P88" s="71">
        <f t="shared" si="15"/>
        <v>4285.3501094178437</v>
      </c>
    </row>
    <row r="89" spans="2:20" x14ac:dyDescent="0.2">
      <c r="N89" s="25">
        <v>2029</v>
      </c>
      <c r="O89" s="61">
        <f t="shared" si="14"/>
        <v>1613067.0535262008</v>
      </c>
      <c r="P89" s="71">
        <f t="shared" si="15"/>
        <v>4419.3617904827415</v>
      </c>
    </row>
    <row r="90" spans="2:20" s="39" customFormat="1" ht="15" x14ac:dyDescent="0.2">
      <c r="N90" s="25">
        <v>2030</v>
      </c>
      <c r="O90" s="61">
        <f t="shared" si="14"/>
        <v>2453824.8166502505</v>
      </c>
      <c r="P90" s="71">
        <f t="shared" si="15"/>
        <v>6722.8077168500013</v>
      </c>
    </row>
    <row r="91" spans="2:20" x14ac:dyDescent="0.2">
      <c r="N91" s="25">
        <v>2031</v>
      </c>
      <c r="O91" s="61">
        <f t="shared" si="14"/>
        <v>2975969.0506570488</v>
      </c>
      <c r="P91" s="71">
        <f t="shared" si="15"/>
        <v>8153.3398648138327</v>
      </c>
    </row>
    <row r="93" spans="2:20" ht="18" x14ac:dyDescent="0.25">
      <c r="B93" s="135" t="s">
        <v>315</v>
      </c>
      <c r="C93" s="135"/>
      <c r="D93" s="135"/>
      <c r="E93" s="135"/>
      <c r="F93" s="135"/>
      <c r="G93" s="135"/>
      <c r="H93" s="135"/>
      <c r="I93" s="135"/>
      <c r="J93" s="135"/>
    </row>
    <row r="95" spans="2:20" ht="76.5" x14ac:dyDescent="0.2">
      <c r="B95" s="56" t="s">
        <v>222</v>
      </c>
      <c r="C95" s="57" t="s">
        <v>223</v>
      </c>
      <c r="D95" s="57" t="s">
        <v>224</v>
      </c>
      <c r="E95" s="57" t="s">
        <v>225</v>
      </c>
      <c r="F95" s="57" t="s">
        <v>226</v>
      </c>
      <c r="G95" s="57" t="s">
        <v>227</v>
      </c>
      <c r="H95" s="57" t="s">
        <v>228</v>
      </c>
      <c r="I95" s="57" t="s">
        <v>229</v>
      </c>
      <c r="J95" s="57" t="s">
        <v>230</v>
      </c>
      <c r="L95" s="29"/>
    </row>
    <row r="96" spans="2:20" x14ac:dyDescent="0.2">
      <c r="B96" s="65">
        <v>2025</v>
      </c>
      <c r="C96" s="64">
        <v>2000</v>
      </c>
      <c r="D96" s="64">
        <v>3000</v>
      </c>
      <c r="E96" s="45">
        <f t="shared" ref="E96:E121" si="16">0.8*C34/365</f>
        <v>2585.2800000000002</v>
      </c>
      <c r="F96" s="45">
        <f t="shared" ref="F96:F121" si="17">0.8*N34/365</f>
        <v>2666.56</v>
      </c>
      <c r="G96" s="45">
        <f t="shared" ref="G96:G121" si="18">0.8*O34/365</f>
        <v>2666.56</v>
      </c>
      <c r="H96" s="45">
        <f t="shared" ref="H96:H121" si="19">0.8*Q34/365</f>
        <v>2666.56</v>
      </c>
      <c r="I96" s="45">
        <f t="shared" ref="I96:I121" si="20">0.8*S34/365</f>
        <v>2666.56</v>
      </c>
      <c r="J96" s="45">
        <f t="shared" ref="J96:J121" si="21">0.8*U34/365</f>
        <v>2666.56</v>
      </c>
    </row>
    <row r="97" spans="2:10" x14ac:dyDescent="0.2">
      <c r="B97" s="65">
        <v>2026</v>
      </c>
      <c r="C97" s="64">
        <v>2000</v>
      </c>
      <c r="D97" s="64">
        <v>3000</v>
      </c>
      <c r="E97" s="45">
        <f t="shared" si="16"/>
        <v>2663.9116799999997</v>
      </c>
      <c r="F97" s="45">
        <f t="shared" si="17"/>
        <v>3736.0475898238747</v>
      </c>
      <c r="G97" s="45">
        <f t="shared" si="18"/>
        <v>3736.0475898238747</v>
      </c>
      <c r="H97" s="45">
        <f t="shared" si="19"/>
        <v>3736.0475898238747</v>
      </c>
      <c r="I97" s="45">
        <f t="shared" si="20"/>
        <v>3736.0475898238747</v>
      </c>
      <c r="J97" s="45">
        <f t="shared" si="21"/>
        <v>3736.0475898238747</v>
      </c>
    </row>
    <row r="98" spans="2:10" x14ac:dyDescent="0.2">
      <c r="B98" s="65">
        <v>2027</v>
      </c>
      <c r="C98" s="64">
        <v>2000</v>
      </c>
      <c r="D98" s="64">
        <v>3000</v>
      </c>
      <c r="E98" s="45">
        <f t="shared" si="16"/>
        <v>2748.3211315200001</v>
      </c>
      <c r="F98" s="45">
        <f t="shared" si="17"/>
        <v>3856.0272522238747</v>
      </c>
      <c r="G98" s="45">
        <f t="shared" si="18"/>
        <v>3856.0272522238747</v>
      </c>
      <c r="H98" s="45">
        <f t="shared" si="19"/>
        <v>6476.8272522238749</v>
      </c>
      <c r="I98" s="45">
        <f t="shared" si="20"/>
        <v>6476.8272522238749</v>
      </c>
      <c r="J98" s="45">
        <f t="shared" si="21"/>
        <v>6476.8272522238749</v>
      </c>
    </row>
    <row r="99" spans="2:10" x14ac:dyDescent="0.2">
      <c r="B99" s="65">
        <v>2028</v>
      </c>
      <c r="C99" s="64">
        <v>2000</v>
      </c>
      <c r="D99" s="64">
        <v>3000</v>
      </c>
      <c r="E99" s="45">
        <f t="shared" si="16"/>
        <v>2838.9685252300796</v>
      </c>
      <c r="F99" s="45">
        <f t="shared" si="17"/>
        <v>3952.443287534275</v>
      </c>
      <c r="G99" s="45">
        <f t="shared" si="18"/>
        <v>3952.443287534275</v>
      </c>
      <c r="H99" s="45">
        <f t="shared" si="19"/>
        <v>6628.2800875342755</v>
      </c>
      <c r="I99" s="45">
        <f t="shared" si="20"/>
        <v>6628.2800875342755</v>
      </c>
      <c r="J99" s="45">
        <f t="shared" si="21"/>
        <v>6628.2800875342755</v>
      </c>
    </row>
    <row r="100" spans="2:10" x14ac:dyDescent="0.2">
      <c r="B100" s="65">
        <v>2029</v>
      </c>
      <c r="C100" s="64">
        <v>2000</v>
      </c>
      <c r="D100" s="64">
        <v>3000</v>
      </c>
      <c r="E100" s="45">
        <f t="shared" si="16"/>
        <v>2936.3508372497204</v>
      </c>
      <c r="F100" s="45">
        <f t="shared" si="17"/>
        <v>4003.460059586193</v>
      </c>
      <c r="G100" s="45">
        <f t="shared" si="18"/>
        <v>4003.460059586193</v>
      </c>
      <c r="H100" s="45">
        <f t="shared" si="19"/>
        <v>6735.4894323861945</v>
      </c>
      <c r="I100" s="45">
        <f t="shared" si="20"/>
        <v>6735.4894323861945</v>
      </c>
      <c r="J100" s="45">
        <f t="shared" si="21"/>
        <v>6735.4894323861945</v>
      </c>
    </row>
    <row r="101" spans="2:10" x14ac:dyDescent="0.2">
      <c r="B101" s="65">
        <v>2030</v>
      </c>
      <c r="C101" s="64">
        <v>2000</v>
      </c>
      <c r="D101" s="64">
        <v>3000</v>
      </c>
      <c r="E101" s="45">
        <f t="shared" si="16"/>
        <v>3041.0047935509365</v>
      </c>
      <c r="F101" s="45">
        <f t="shared" si="17"/>
        <v>4129.0041838512025</v>
      </c>
      <c r="G101" s="45">
        <f t="shared" si="18"/>
        <v>5788.8441838512017</v>
      </c>
      <c r="H101" s="45">
        <f t="shared" si="19"/>
        <v>6918.4061734800025</v>
      </c>
      <c r="I101" s="45">
        <f t="shared" si="20"/>
        <v>8578.2461734800017</v>
      </c>
      <c r="J101" s="45">
        <f t="shared" si="21"/>
        <v>8578.2461734800017</v>
      </c>
    </row>
    <row r="102" spans="2:10" x14ac:dyDescent="0.2">
      <c r="B102" s="65">
        <v>2031</v>
      </c>
      <c r="C102" s="64">
        <v>2000</v>
      </c>
      <c r="D102" s="64">
        <v>3000</v>
      </c>
      <c r="E102" s="45">
        <f t="shared" si="16"/>
        <v>3153.510049913536</v>
      </c>
      <c r="F102" s="45">
        <f t="shared" si="17"/>
        <v>5179.9958204400609</v>
      </c>
      <c r="G102" s="45">
        <f t="shared" si="18"/>
        <v>6874.692460440061</v>
      </c>
      <c r="H102" s="45">
        <f t="shared" si="19"/>
        <v>8027.9752518510659</v>
      </c>
      <c r="I102" s="45">
        <f t="shared" si="20"/>
        <v>9722.6718918510669</v>
      </c>
      <c r="J102" s="45">
        <f t="shared" si="21"/>
        <v>9722.6718918510669</v>
      </c>
    </row>
    <row r="103" spans="2:10" x14ac:dyDescent="0.2">
      <c r="B103" s="65">
        <v>2032</v>
      </c>
      <c r="C103" s="64">
        <v>2000</v>
      </c>
      <c r="D103" s="64">
        <v>3000</v>
      </c>
      <c r="E103" s="45">
        <f t="shared" si="16"/>
        <v>3274.4926262766562</v>
      </c>
      <c r="F103" s="45">
        <f t="shared" si="17"/>
        <v>5243.1135956830012</v>
      </c>
      <c r="G103" s="45">
        <f t="shared" si="18"/>
        <v>6973.3988651230011</v>
      </c>
      <c r="H103" s="45">
        <f t="shared" si="19"/>
        <v>8150.9005951536374</v>
      </c>
      <c r="I103" s="45">
        <f t="shared" si="20"/>
        <v>9881.1858645936391</v>
      </c>
      <c r="J103" s="45">
        <f t="shared" si="21"/>
        <v>9881.1858645936391</v>
      </c>
    </row>
    <row r="104" spans="2:10" x14ac:dyDescent="0.2">
      <c r="B104" s="65">
        <v>2033</v>
      </c>
      <c r="C104" s="64">
        <v>2000</v>
      </c>
      <c r="D104" s="64">
        <v>3000</v>
      </c>
      <c r="E104" s="45">
        <f t="shared" si="16"/>
        <v>3404.6286158383073</v>
      </c>
      <c r="F104" s="45">
        <f t="shared" si="17"/>
        <v>5307.5568442060421</v>
      </c>
      <c r="G104" s="45">
        <f t="shared" si="18"/>
        <v>7074.178104304282</v>
      </c>
      <c r="H104" s="45">
        <f t="shared" si="19"/>
        <v>8276.4073706655618</v>
      </c>
      <c r="I104" s="45">
        <f t="shared" si="20"/>
        <v>10043.028630763803</v>
      </c>
      <c r="J104" s="45">
        <f t="shared" si="21"/>
        <v>10043.028630763803</v>
      </c>
    </row>
    <row r="105" spans="2:10" x14ac:dyDescent="0.2">
      <c r="B105" s="65">
        <v>2034</v>
      </c>
      <c r="C105" s="64">
        <v>2000</v>
      </c>
      <c r="D105" s="64">
        <v>3000</v>
      </c>
      <c r="E105" s="45">
        <f t="shared" si="16"/>
        <v>3544.6481908827282</v>
      </c>
      <c r="F105" s="45">
        <f t="shared" si="17"/>
        <v>6370.9140866623538</v>
      </c>
      <c r="G105" s="45">
        <f t="shared" si="18"/>
        <v>8174.6343932226564</v>
      </c>
      <c r="H105" s="45">
        <f t="shared" si="19"/>
        <v>7305.4704741775258</v>
      </c>
      <c r="I105" s="45">
        <f t="shared" si="20"/>
        <v>11729.990780737829</v>
      </c>
      <c r="J105" s="45">
        <f t="shared" si="21"/>
        <v>11729.990780737829</v>
      </c>
    </row>
    <row r="106" spans="2:10" x14ac:dyDescent="0.2">
      <c r="B106" s="65">
        <v>2035</v>
      </c>
      <c r="C106" s="64">
        <v>2000</v>
      </c>
      <c r="D106" s="64">
        <v>3000</v>
      </c>
      <c r="E106" s="45">
        <f t="shared" si="16"/>
        <v>3695.3399290738116</v>
      </c>
      <c r="F106" s="45">
        <f t="shared" si="17"/>
        <v>6446.6571454959612</v>
      </c>
      <c r="G106" s="45">
        <f t="shared" si="18"/>
        <v>8288.2555784940305</v>
      </c>
      <c r="H106" s="45">
        <f t="shared" si="19"/>
        <v>7400.8392171489522</v>
      </c>
      <c r="I106" s="45">
        <f t="shared" si="20"/>
        <v>11918.274450147024</v>
      </c>
      <c r="J106" s="45">
        <f t="shared" si="21"/>
        <v>11918.274450147024</v>
      </c>
    </row>
    <row r="107" spans="2:10" x14ac:dyDescent="0.2">
      <c r="B107" s="65">
        <v>2036</v>
      </c>
      <c r="C107" s="64">
        <v>2000</v>
      </c>
      <c r="D107" s="64">
        <v>3000</v>
      </c>
      <c r="E107" s="45">
        <f t="shared" si="16"/>
        <v>3857.5554858518635</v>
      </c>
      <c r="F107" s="45">
        <f t="shared" si="17"/>
        <v>6523.9908085650768</v>
      </c>
      <c r="G107" s="45">
        <f t="shared" si="18"/>
        <v>8404.2628086561053</v>
      </c>
      <c r="H107" s="45">
        <f t="shared" si="19"/>
        <v>7498.2107037227788</v>
      </c>
      <c r="I107" s="45">
        <f t="shared" si="20"/>
        <v>12110.51207661381</v>
      </c>
      <c r="J107" s="45">
        <f t="shared" si="21"/>
        <v>12110.51207661381</v>
      </c>
    </row>
    <row r="108" spans="2:10" x14ac:dyDescent="0.2">
      <c r="B108" s="65">
        <v>2037</v>
      </c>
      <c r="C108" s="64">
        <v>2000</v>
      </c>
      <c r="D108" s="64">
        <v>3000</v>
      </c>
      <c r="E108" s="45">
        <f t="shared" si="16"/>
        <v>4032.2146406219686</v>
      </c>
      <c r="F108" s="45">
        <f t="shared" si="17"/>
        <v>6602.9484785586419</v>
      </c>
      <c r="G108" s="45">
        <f t="shared" si="18"/>
        <v>8522.706190651581</v>
      </c>
      <c r="H108" s="45">
        <f t="shared" si="19"/>
        <v>7597.6269915146559</v>
      </c>
      <c r="I108" s="45">
        <f t="shared" si="20"/>
        <v>12306.7866932364</v>
      </c>
      <c r="J108" s="45">
        <f t="shared" si="21"/>
        <v>12306.7866932364</v>
      </c>
    </row>
    <row r="109" spans="2:10" x14ac:dyDescent="0.2">
      <c r="B109" s="65">
        <v>2038</v>
      </c>
      <c r="C109" s="64">
        <v>2000</v>
      </c>
      <c r="D109" s="64">
        <v>3000</v>
      </c>
      <c r="E109" s="45">
        <f t="shared" si="16"/>
        <v>4220.3107466372903</v>
      </c>
      <c r="F109" s="45">
        <f t="shared" si="17"/>
        <v>6683.5642596220723</v>
      </c>
      <c r="G109" s="45">
        <f t="shared" si="18"/>
        <v>8643.6368836689635</v>
      </c>
      <c r="H109" s="45">
        <f t="shared" si="19"/>
        <v>7699.1310213501629</v>
      </c>
      <c r="I109" s="45">
        <f t="shared" si="20"/>
        <v>12507.18307680806</v>
      </c>
      <c r="J109" s="45">
        <f t="shared" si="21"/>
        <v>12507.18307680806</v>
      </c>
    </row>
    <row r="110" spans="2:10" x14ac:dyDescent="0.2">
      <c r="B110" s="65">
        <v>2039</v>
      </c>
      <c r="C110" s="64">
        <v>2000</v>
      </c>
      <c r="D110" s="64">
        <v>3000</v>
      </c>
      <c r="E110" s="45">
        <f t="shared" si="16"/>
        <v>4422.9166168728998</v>
      </c>
      <c r="F110" s="45">
        <f t="shared" si="17"/>
        <v>6765.8729720878355</v>
      </c>
      <c r="G110" s="45">
        <f t="shared" si="18"/>
        <v>8767.1071212397092</v>
      </c>
      <c r="H110" s="45">
        <f t="shared" si="19"/>
        <v>7802.7666358122142</v>
      </c>
      <c r="I110" s="45">
        <f t="shared" si="20"/>
        <v>12711.787784434729</v>
      </c>
      <c r="J110" s="45">
        <f t="shared" si="21"/>
        <v>12711.787784434729</v>
      </c>
    </row>
    <row r="111" spans="2:10" x14ac:dyDescent="0.2">
      <c r="B111" s="65">
        <v>2040</v>
      </c>
      <c r="C111" s="64">
        <v>2000</v>
      </c>
      <c r="D111" s="64">
        <v>3000</v>
      </c>
      <c r="E111" s="45">
        <f t="shared" si="16"/>
        <v>4641.1908807693762</v>
      </c>
      <c r="F111" s="45">
        <f t="shared" si="17"/>
        <v>6849.9101675153788</v>
      </c>
      <c r="G111" s="45">
        <f t="shared" si="18"/>
        <v>8893.1702337994429</v>
      </c>
      <c r="H111" s="45">
        <f t="shared" si="19"/>
        <v>7908.5785981779691</v>
      </c>
      <c r="I111" s="45">
        <f t="shared" si="20"/>
        <v>12920.689190921557</v>
      </c>
      <c r="J111" s="45">
        <f t="shared" si="21"/>
        <v>12920.689190921557</v>
      </c>
    </row>
    <row r="112" spans="2:10" x14ac:dyDescent="0.2">
      <c r="B112" s="65">
        <v>2041</v>
      </c>
      <c r="C112" s="64">
        <v>2000</v>
      </c>
      <c r="D112" s="64">
        <v>3000</v>
      </c>
      <c r="E112" s="45">
        <f t="shared" si="16"/>
        <v>4876.3848495157572</v>
      </c>
      <c r="F112" s="45">
        <f t="shared" si="17"/>
        <v>6935.7121440468991</v>
      </c>
      <c r="G112" s="45">
        <f t="shared" si="18"/>
        <v>9021.8806717229309</v>
      </c>
      <c r="H112" s="45">
        <f t="shared" si="19"/>
        <v>8016.6126117534059</v>
      </c>
      <c r="I112" s="45">
        <f t="shared" si="20"/>
        <v>13133.977526944607</v>
      </c>
      <c r="J112" s="45">
        <f t="shared" si="21"/>
        <v>13133.977526944607</v>
      </c>
    </row>
    <row r="113" spans="2:10" x14ac:dyDescent="0.2">
      <c r="B113" s="65">
        <v>2042</v>
      </c>
      <c r="C113" s="64">
        <v>2000</v>
      </c>
      <c r="D113" s="64">
        <v>3000</v>
      </c>
      <c r="E113" s="45">
        <f t="shared" si="16"/>
        <v>5129.8499305549885</v>
      </c>
      <c r="F113" s="45">
        <f t="shared" si="17"/>
        <v>7023.3159620855831</v>
      </c>
      <c r="G113" s="45">
        <f t="shared" si="18"/>
        <v>9153.2940288428108</v>
      </c>
      <c r="H113" s="45">
        <f t="shared" si="19"/>
        <v>8126.9153396139254</v>
      </c>
      <c r="I113" s="45">
        <f t="shared" si="20"/>
        <v>13351.744918024144</v>
      </c>
      <c r="J113" s="45">
        <f t="shared" si="21"/>
        <v>13875.904918024153</v>
      </c>
    </row>
    <row r="114" spans="2:10" x14ac:dyDescent="0.2">
      <c r="B114" s="65">
        <v>2043</v>
      </c>
      <c r="C114" s="64">
        <v>2000</v>
      </c>
      <c r="D114" s="64">
        <v>3000</v>
      </c>
      <c r="E114" s="45">
        <f t="shared" si="16"/>
        <v>5403.0456352496694</v>
      </c>
      <c r="F114" s="45">
        <f t="shared" si="17"/>
        <v>7112.7594603030802</v>
      </c>
      <c r="G114" s="45">
        <f t="shared" si="18"/>
        <v>9287.4670664622081</v>
      </c>
      <c r="H114" s="45">
        <f t="shared" si="19"/>
        <v>8239.5344247595167</v>
      </c>
      <c r="I114" s="45">
        <f t="shared" si="20"/>
        <v>13574.08542431635</v>
      </c>
      <c r="J114" s="45">
        <f t="shared" si="21"/>
        <v>14109.252784316363</v>
      </c>
    </row>
    <row r="115" spans="2:10" x14ac:dyDescent="0.2">
      <c r="B115" s="65">
        <v>2044</v>
      </c>
      <c r="C115" s="64">
        <v>2000</v>
      </c>
      <c r="D115" s="64">
        <v>3000</v>
      </c>
      <c r="E115" s="45">
        <f t="shared" si="16"/>
        <v>5697.5482271609262</v>
      </c>
      <c r="F115" s="45">
        <f t="shared" si="17"/>
        <v>7204.081271983142</v>
      </c>
      <c r="G115" s="45">
        <f t="shared" si="18"/>
        <v>9424.4577378716131</v>
      </c>
      <c r="H115" s="45">
        <f t="shared" si="19"/>
        <v>8354.518510693164</v>
      </c>
      <c r="I115" s="45">
        <f t="shared" si="20"/>
        <v>13801.095081240694</v>
      </c>
      <c r="J115" s="45">
        <f t="shared" si="21"/>
        <v>14347.500955800702</v>
      </c>
    </row>
    <row r="116" spans="2:10" x14ac:dyDescent="0.2">
      <c r="B116" s="65">
        <v>2045</v>
      </c>
      <c r="C116" s="64">
        <v>2000</v>
      </c>
      <c r="D116" s="64">
        <v>3000</v>
      </c>
      <c r="E116" s="45">
        <f t="shared" si="16"/>
        <v>6015.06006218945</v>
      </c>
      <c r="F116" s="45">
        <f t="shared" si="17"/>
        <v>7297.320841708487</v>
      </c>
      <c r="G116" s="45">
        <f t="shared" si="18"/>
        <v>9564.3252133806163</v>
      </c>
      <c r="H116" s="45">
        <f t="shared" si="19"/>
        <v>8471.9172624314197</v>
      </c>
      <c r="I116" s="45">
        <f t="shared" si="20"/>
        <v>14032.871940960447</v>
      </c>
      <c r="J116" s="45">
        <f t="shared" si="21"/>
        <v>14590.752338886216</v>
      </c>
    </row>
    <row r="117" spans="2:10" x14ac:dyDescent="0.2">
      <c r="B117" s="65">
        <v>2046</v>
      </c>
      <c r="C117" s="64">
        <v>2000</v>
      </c>
      <c r="D117" s="64">
        <v>3000</v>
      </c>
      <c r="E117" s="45">
        <f t="shared" si="16"/>
        <v>6357.4196759276756</v>
      </c>
      <c r="F117" s="45">
        <f t="shared" si="17"/>
        <v>7392.5184423980636</v>
      </c>
      <c r="G117" s="45">
        <f t="shared" si="18"/>
        <v>9707.1299058753084</v>
      </c>
      <c r="H117" s="45">
        <f t="shared" si="19"/>
        <v>8591.7813879561782</v>
      </c>
      <c r="I117" s="45">
        <f t="shared" si="20"/>
        <v>14269.516114734315</v>
      </c>
      <c r="J117" s="45">
        <f t="shared" si="21"/>
        <v>14839.112001016521</v>
      </c>
    </row>
    <row r="118" spans="2:10" x14ac:dyDescent="0.2">
      <c r="B118" s="65">
        <v>2047</v>
      </c>
      <c r="C118" s="64">
        <v>2000</v>
      </c>
      <c r="D118" s="64">
        <v>3000</v>
      </c>
      <c r="E118" s="45">
        <f t="shared" si="16"/>
        <v>6726.6126780000131</v>
      </c>
      <c r="F118" s="45">
        <f t="shared" si="17"/>
        <v>7489.7151927021214</v>
      </c>
      <c r="G118" s="45">
        <f t="shared" si="18"/>
        <v>9852.9334969123884</v>
      </c>
      <c r="H118" s="45">
        <f t="shared" si="19"/>
        <v>8714.1626601169573</v>
      </c>
      <c r="I118" s="45">
        <f t="shared" si="20"/>
        <v>14511.129816157432</v>
      </c>
      <c r="J118" s="45">
        <f t="shared" si="21"/>
        <v>15092.687216051569</v>
      </c>
    </row>
    <row r="119" spans="2:10" x14ac:dyDescent="0.2">
      <c r="B119" s="65">
        <v>2048</v>
      </c>
      <c r="C119" s="64">
        <v>2000</v>
      </c>
      <c r="D119" s="64">
        <v>3000</v>
      </c>
      <c r="E119" s="45">
        <f t="shared" si="16"/>
        <v>7124.7835179501299</v>
      </c>
      <c r="F119" s="45">
        <f t="shared" si="17"/>
        <v>7588.9530747625649</v>
      </c>
      <c r="G119" s="45">
        <f t="shared" si="18"/>
        <v>10001.798963361243</v>
      </c>
      <c r="H119" s="45">
        <f t="shared" si="19"/>
        <v>8839.1139389931104</v>
      </c>
      <c r="I119" s="45">
        <f t="shared" si="20"/>
        <v>14757.817405310436</v>
      </c>
      <c r="J119" s="45">
        <f t="shared" si="21"/>
        <v>15351.58751060235</v>
      </c>
    </row>
    <row r="120" spans="2:10" x14ac:dyDescent="0.2">
      <c r="B120" s="65">
        <v>2049</v>
      </c>
      <c r="C120" s="64">
        <v>2000</v>
      </c>
      <c r="D120" s="64">
        <v>3000</v>
      </c>
      <c r="E120" s="45">
        <f t="shared" si="16"/>
        <v>7554.2481923990972</v>
      </c>
      <c r="F120" s="45">
        <f t="shared" si="17"/>
        <v>7690.2749523462762</v>
      </c>
      <c r="G120" s="45">
        <f t="shared" si="18"/>
        <v>10153.790604605532</v>
      </c>
      <c r="H120" s="45">
        <f t="shared" si="19"/>
        <v>8966.6891947256663</v>
      </c>
      <c r="I120" s="45">
        <f t="shared" si="20"/>
        <v>15009.685433835657</v>
      </c>
      <c r="J120" s="45">
        <f t="shared" si="21"/>
        <v>15615.924711338695</v>
      </c>
    </row>
    <row r="121" spans="2:10" x14ac:dyDescent="0.2">
      <c r="B121" s="65">
        <v>2050</v>
      </c>
      <c r="C121" s="64">
        <v>2000</v>
      </c>
      <c r="D121" s="64">
        <v>3000</v>
      </c>
      <c r="E121" s="45">
        <f t="shared" si="16"/>
        <v>8017.5079687760335</v>
      </c>
      <c r="F121" s="45">
        <f t="shared" si="17"/>
        <v>7793.7245893592471</v>
      </c>
      <c r="G121" s="45">
        <f t="shared" si="18"/>
        <v>10308.974070315946</v>
      </c>
      <c r="H121" s="45">
        <f t="shared" si="19"/>
        <v>9096.9435308286029</v>
      </c>
      <c r="I121" s="45">
        <f t="shared" si="20"/>
        <v>15266.842690959904</v>
      </c>
      <c r="J121" s="45">
        <f t="shared" si="21"/>
        <v>15885.81299329051</v>
      </c>
    </row>
  </sheetData>
  <sheetProtection sheet="1" objects="1" scenarios="1" selectLockedCells="1"/>
  <mergeCells count="20">
    <mergeCell ref="B30:X30"/>
    <mergeCell ref="B4:S5"/>
    <mergeCell ref="J19:J20"/>
    <mergeCell ref="K19:L19"/>
    <mergeCell ref="M19:N19"/>
    <mergeCell ref="O19:P19"/>
    <mergeCell ref="N84:P84"/>
    <mergeCell ref="B93:J93"/>
    <mergeCell ref="B62:F62"/>
    <mergeCell ref="H62:T62"/>
    <mergeCell ref="W32:X32"/>
    <mergeCell ref="B32:K32"/>
    <mergeCell ref="M32:U32"/>
    <mergeCell ref="N78:N81"/>
    <mergeCell ref="N66:N69"/>
    <mergeCell ref="P64:T64"/>
    <mergeCell ref="O64:O65"/>
    <mergeCell ref="N64:N65"/>
    <mergeCell ref="N70:N73"/>
    <mergeCell ref="N74:N77"/>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344CA-BCC4-4576-99FF-DE83E20E567B}">
  <sheetPr codeName="Tabelle9">
    <tabColor theme="7"/>
  </sheetPr>
  <dimension ref="B1:M25"/>
  <sheetViews>
    <sheetView zoomScale="85" zoomScaleNormal="85" workbookViewId="0">
      <selection activeCell="G10" sqref="G10"/>
    </sheetView>
  </sheetViews>
  <sheetFormatPr baseColWidth="10" defaultColWidth="11.25" defaultRowHeight="14.25" x14ac:dyDescent="0.2"/>
  <cols>
    <col min="1" max="1" width="1.875" style="33" customWidth="1"/>
    <col min="2" max="2" width="6.25" style="33" customWidth="1"/>
    <col min="3" max="3" width="36.625" style="33" customWidth="1"/>
    <col min="4" max="4" width="11.25" style="33"/>
    <col min="5" max="5" width="6.25" style="33" customWidth="1"/>
    <col min="6" max="6" width="38.375" style="33" customWidth="1"/>
    <col min="7" max="7" width="16.875" style="33" customWidth="1"/>
    <col min="8" max="8" width="6.75" style="33" customWidth="1"/>
    <col min="9" max="9" width="45.75" style="33" customWidth="1"/>
    <col min="10" max="10" width="11.25" style="33" customWidth="1"/>
    <col min="11" max="11" width="11.25" style="33"/>
    <col min="12" max="12" width="41" style="33" customWidth="1"/>
    <col min="13" max="16384" width="11.25" style="33"/>
  </cols>
  <sheetData>
    <row r="1" spans="2:13" ht="10.5" customHeight="1" x14ac:dyDescent="0.2"/>
    <row r="2" spans="2:13" s="1" customFormat="1" ht="23.45" customHeight="1" x14ac:dyDescent="0.2">
      <c r="C2" s="2" t="s">
        <v>152</v>
      </c>
    </row>
    <row r="3" spans="2:13" ht="22.5" customHeight="1" x14ac:dyDescent="0.2"/>
    <row r="4" spans="2:13" ht="22.5" customHeight="1" x14ac:dyDescent="0.2">
      <c r="C4" s="142" t="s">
        <v>324</v>
      </c>
      <c r="D4" s="143"/>
      <c r="E4" s="143"/>
      <c r="F4" s="143"/>
      <c r="G4" s="143"/>
      <c r="H4" s="143"/>
      <c r="I4" s="144"/>
    </row>
    <row r="5" spans="2:13" ht="22.5" customHeight="1" x14ac:dyDescent="0.2">
      <c r="C5" s="145"/>
      <c r="D5" s="146"/>
      <c r="E5" s="146"/>
      <c r="F5" s="146"/>
      <c r="G5" s="146"/>
      <c r="H5" s="146"/>
      <c r="I5" s="147"/>
    </row>
    <row r="6" spans="2:13" ht="22.5" customHeight="1" x14ac:dyDescent="0.2"/>
    <row r="7" spans="2:13" ht="19.5" customHeight="1" x14ac:dyDescent="0.2">
      <c r="C7" s="103" t="s">
        <v>292</v>
      </c>
      <c r="D7" s="103"/>
      <c r="F7" s="80" t="s">
        <v>1</v>
      </c>
      <c r="G7" s="80"/>
      <c r="I7" s="80" t="s">
        <v>2</v>
      </c>
      <c r="J7" s="80"/>
      <c r="L7" s="80" t="s">
        <v>153</v>
      </c>
      <c r="M7" s="80"/>
    </row>
    <row r="8" spans="2:13" ht="30" customHeight="1" x14ac:dyDescent="0.2">
      <c r="C8" s="103"/>
      <c r="D8" s="103"/>
      <c r="F8" s="80"/>
      <c r="G8" s="80"/>
      <c r="I8" s="80"/>
      <c r="J8" s="80"/>
      <c r="L8" s="80"/>
      <c r="M8" s="80"/>
    </row>
    <row r="9" spans="2:13" ht="16.5" x14ac:dyDescent="0.2">
      <c r="B9" s="20"/>
      <c r="C9" s="23" t="s">
        <v>154</v>
      </c>
      <c r="D9" s="30">
        <v>1.0999999999999999E-2</v>
      </c>
      <c r="F9" s="23" t="s">
        <v>4</v>
      </c>
      <c r="G9" s="246">
        <f>D12</f>
        <v>3.8</v>
      </c>
      <c r="I9" s="23" t="s">
        <v>155</v>
      </c>
      <c r="J9" s="251">
        <f>(188+165)/2</f>
        <v>176.5</v>
      </c>
      <c r="L9" s="23" t="s">
        <v>156</v>
      </c>
      <c r="M9" s="241">
        <v>0.01</v>
      </c>
    </row>
    <row r="10" spans="2:13" ht="16.5" x14ac:dyDescent="0.2">
      <c r="B10" s="20"/>
      <c r="C10" s="23" t="s">
        <v>6</v>
      </c>
      <c r="D10" s="31">
        <v>2023</v>
      </c>
      <c r="F10" s="23" t="s">
        <v>157</v>
      </c>
      <c r="G10" s="241">
        <v>0.6</v>
      </c>
      <c r="I10" s="23" t="s">
        <v>158</v>
      </c>
      <c r="J10" s="32">
        <f>J9*365</f>
        <v>64422.5</v>
      </c>
      <c r="L10" s="23" t="s">
        <v>156</v>
      </c>
      <c r="M10" s="243">
        <v>2.5000000000000001E-2</v>
      </c>
    </row>
    <row r="11" spans="2:13" ht="16.5" x14ac:dyDescent="0.2">
      <c r="B11" s="20"/>
      <c r="C11" s="23" t="s">
        <v>9</v>
      </c>
      <c r="D11" s="32">
        <v>1200</v>
      </c>
      <c r="F11" s="23" t="s">
        <v>10</v>
      </c>
      <c r="G11" s="23">
        <f>G9*G10</f>
        <v>2.2799999999999998</v>
      </c>
      <c r="I11" s="23" t="s">
        <v>159</v>
      </c>
      <c r="J11" s="32">
        <f>J9*'11. Aus Background Data'!I9</f>
        <v>34.621544773970626</v>
      </c>
      <c r="L11" s="23" t="s">
        <v>156</v>
      </c>
      <c r="M11" s="241">
        <v>0.05</v>
      </c>
    </row>
    <row r="12" spans="2:13" ht="28.5" x14ac:dyDescent="0.2">
      <c r="B12" s="20"/>
      <c r="C12" s="23" t="s">
        <v>12</v>
      </c>
      <c r="D12" s="23">
        <f>Household_Size</f>
        <v>3.8</v>
      </c>
      <c r="F12" s="23" t="s">
        <v>13</v>
      </c>
      <c r="G12" s="23">
        <f>G10*(G9-1)</f>
        <v>1.68</v>
      </c>
      <c r="I12" s="23" t="s">
        <v>160</v>
      </c>
      <c r="J12" s="32">
        <f>J9*'11. Aus Background Data'!I8</f>
        <v>141.87845522602936</v>
      </c>
      <c r="L12" s="23" t="s">
        <v>156</v>
      </c>
      <c r="M12" s="241">
        <v>0.1</v>
      </c>
    </row>
    <row r="13" spans="2:13" ht="28.5" x14ac:dyDescent="0.2">
      <c r="C13" s="20"/>
      <c r="D13" s="20"/>
      <c r="F13" s="23" t="s">
        <v>15</v>
      </c>
      <c r="G13" s="250">
        <v>2025</v>
      </c>
      <c r="I13" s="23" t="s">
        <v>210</v>
      </c>
      <c r="J13" s="32">
        <f>Aus_Domestic*1000/Starting_Pop_Aus_Scenarios</f>
        <v>115.63036285739963</v>
      </c>
    </row>
    <row r="14" spans="2:13" ht="28.5" x14ac:dyDescent="0.2">
      <c r="C14" s="20"/>
      <c r="D14" s="20"/>
      <c r="F14" s="23" t="s">
        <v>17</v>
      </c>
      <c r="G14" s="239">
        <v>1227</v>
      </c>
      <c r="I14" s="23" t="s">
        <v>211</v>
      </c>
      <c r="J14" s="32">
        <f>J13/1000*365</f>
        <v>42.205082442950868</v>
      </c>
    </row>
    <row r="15" spans="2:13" ht="28.5" x14ac:dyDescent="0.2">
      <c r="I15" s="23" t="s">
        <v>208</v>
      </c>
      <c r="J15" s="242">
        <f>120</f>
        <v>120</v>
      </c>
    </row>
    <row r="16" spans="2:13" ht="30.75" x14ac:dyDescent="0.2">
      <c r="I16" s="23" t="s">
        <v>209</v>
      </c>
      <c r="J16" s="23">
        <f>J15/1000*365</f>
        <v>43.8</v>
      </c>
    </row>
    <row r="17" spans="9:13" x14ac:dyDescent="0.2">
      <c r="L17" s="80" t="s">
        <v>161</v>
      </c>
      <c r="M17" s="80"/>
    </row>
    <row r="18" spans="9:13" x14ac:dyDescent="0.2">
      <c r="L18" s="80"/>
      <c r="M18" s="80"/>
    </row>
    <row r="19" spans="9:13" x14ac:dyDescent="0.2">
      <c r="I19" s="80" t="s">
        <v>20</v>
      </c>
      <c r="J19" s="80"/>
      <c r="L19" s="54" t="s">
        <v>32</v>
      </c>
      <c r="M19" s="247">
        <v>2028</v>
      </c>
    </row>
    <row r="20" spans="9:13" x14ac:dyDescent="0.2">
      <c r="I20" s="80"/>
      <c r="J20" s="80"/>
      <c r="L20" s="54" t="s">
        <v>42</v>
      </c>
      <c r="M20" s="247">
        <v>0</v>
      </c>
    </row>
    <row r="21" spans="9:13" ht="16.5" x14ac:dyDescent="0.2">
      <c r="I21" s="23" t="s">
        <v>162</v>
      </c>
      <c r="J21" s="244">
        <v>193.6</v>
      </c>
      <c r="L21" s="54" t="s">
        <v>45</v>
      </c>
      <c r="M21" s="239">
        <v>3120</v>
      </c>
    </row>
    <row r="22" spans="9:13" ht="16.5" x14ac:dyDescent="0.2">
      <c r="I22" s="23" t="s">
        <v>163</v>
      </c>
      <c r="J22" s="32">
        <f>J21*365</f>
        <v>70664</v>
      </c>
    </row>
    <row r="23" spans="9:13" x14ac:dyDescent="0.2">
      <c r="I23" s="23" t="s">
        <v>164</v>
      </c>
      <c r="J23" s="241">
        <v>0.39</v>
      </c>
    </row>
    <row r="24" spans="9:13" x14ac:dyDescent="0.2">
      <c r="I24" s="23"/>
      <c r="J24" s="246"/>
    </row>
    <row r="25" spans="9:13" x14ac:dyDescent="0.2">
      <c r="J25" s="20"/>
    </row>
  </sheetData>
  <sheetProtection sheet="1" objects="1" scenarios="1" selectLockedCells="1"/>
  <mergeCells count="7">
    <mergeCell ref="I19:J20"/>
    <mergeCell ref="L7:M8"/>
    <mergeCell ref="L17:M18"/>
    <mergeCell ref="C4:I5"/>
    <mergeCell ref="C7:D8"/>
    <mergeCell ref="F7:G8"/>
    <mergeCell ref="I7:J8"/>
  </mergeCell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Uhrzeit xmlns="fd50c7f3-f0d3-4a4e-82a8-7a166181ec0a" xsi:nil="true"/>
    <lcf76f155ced4ddcb4097134ff3c332f xmlns="fd50c7f3-f0d3-4a4e-82a8-7a166181ec0a">
      <Terms xmlns="http://schemas.microsoft.com/office/infopath/2007/PartnerControls"/>
    </lcf76f155ced4ddcb4097134ff3c332f>
    <TaxCatchAll xmlns="866c9565-0f4a-4e86-90e4-0c46c37e8bfe" xsi:nil="true"/>
    <Datum_x002c_Zeit xmlns="fd50c7f3-f0d3-4a4e-82a8-7a166181ec0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EB31B9D82EE17439D92CD41C64B8A1F" ma:contentTypeVersion="16" ma:contentTypeDescription="Ein neues Dokument erstellen." ma:contentTypeScope="" ma:versionID="82e509e8e817a504ab4a78e7ede18c4a">
  <xsd:schema xmlns:xsd="http://www.w3.org/2001/XMLSchema" xmlns:xs="http://www.w3.org/2001/XMLSchema" xmlns:p="http://schemas.microsoft.com/office/2006/metadata/properties" xmlns:ns2="fd50c7f3-f0d3-4a4e-82a8-7a166181ec0a" xmlns:ns3="866c9565-0f4a-4e86-90e4-0c46c37e8bfe" targetNamespace="http://schemas.microsoft.com/office/2006/metadata/properties" ma:root="true" ma:fieldsID="072e71b1ce1b49f543a1d4219513a363" ns2:_="" ns3:_="">
    <xsd:import namespace="fd50c7f3-f0d3-4a4e-82a8-7a166181ec0a"/>
    <xsd:import namespace="866c9565-0f4a-4e86-90e4-0c46c37e8bf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Datum_x002c_Zeit" minOccurs="0"/>
                <xsd:element ref="ns2:Uhrzeit"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50c7f3-f0d3-4a4e-82a8-7a166181ec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8b881777-2394-4b97-9562-d567b31121d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Datum_x002c_Zeit" ma:index="17" nillable="true" ma:displayName="Datum, Zeit" ma:format="DateTime" ma:internalName="Datum_x002c_Zeit">
      <xsd:simpleType>
        <xsd:restriction base="dms:DateTime"/>
      </xsd:simpleType>
    </xsd:element>
    <xsd:element name="Uhrzeit" ma:index="18" nillable="true" ma:displayName="Uhrzeit" ma:format="DateTime" ma:internalName="Uhrzeit">
      <xsd:simpleType>
        <xsd:restriction base="dms:DateTim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6c9565-0f4a-4e86-90e4-0c46c37e8bf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ec156af-4f14-4eca-86b1-d4f83e3df04a}" ma:internalName="TaxCatchAll" ma:showField="CatchAllData" ma:web="866c9565-0f4a-4e86-90e4-0c46c37e8bf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500003-6FA7-4DA6-9A29-DBF7C653DA4D}">
  <ds:schemaRefs>
    <ds:schemaRef ds:uri="http://schemas.microsoft.com/sharepoint/v3/contenttype/forms"/>
  </ds:schemaRefs>
</ds:datastoreItem>
</file>

<file path=customXml/itemProps2.xml><?xml version="1.0" encoding="utf-8"?>
<ds:datastoreItem xmlns:ds="http://schemas.openxmlformats.org/officeDocument/2006/customXml" ds:itemID="{EEA0BDDB-7E42-4C9B-9E92-5682963DE101}">
  <ds:schemaRefs>
    <ds:schemaRef ds:uri="http://schemas.microsoft.com/office/2006/metadata/properties"/>
    <ds:schemaRef ds:uri="http://schemas.microsoft.com/office/infopath/2007/PartnerControls"/>
    <ds:schemaRef ds:uri="fd50c7f3-f0d3-4a4e-82a8-7a166181ec0a"/>
    <ds:schemaRef ds:uri="866c9565-0f4a-4e86-90e4-0c46c37e8bfe"/>
  </ds:schemaRefs>
</ds:datastoreItem>
</file>

<file path=customXml/itemProps3.xml><?xml version="1.0" encoding="utf-8"?>
<ds:datastoreItem xmlns:ds="http://schemas.openxmlformats.org/officeDocument/2006/customXml" ds:itemID="{F7CD47D8-E90A-4370-98CF-8F4A6DDBD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50c7f3-f0d3-4a4e-82a8-7a166181ec0a"/>
    <ds:schemaRef ds:uri="866c9565-0f4a-4e86-90e4-0c46c37e8b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23</vt:i4>
      </vt:variant>
    </vt:vector>
  </HeadingPairs>
  <TitlesOfParts>
    <vt:vector size="35" baseType="lpstr">
      <vt:lpstr>0. Imprint</vt:lpstr>
      <vt:lpstr>1. Explanation and Instructions</vt:lpstr>
      <vt:lpstr>2. Control Panel - Lüderitz</vt:lpstr>
      <vt:lpstr>3. Lüderitz Industry</vt:lpstr>
      <vt:lpstr>4. Lüderitz Population Calc</vt:lpstr>
      <vt:lpstr>5. Lüderitz Domestic Demand</vt:lpstr>
      <vt:lpstr>6. Lüderitz Industrial Demand</vt:lpstr>
      <vt:lpstr>7. Lüderitz Scenarios</vt:lpstr>
      <vt:lpstr>8. Control Panel - Aus</vt:lpstr>
      <vt:lpstr>9. Aus Pop &amp; Domestic Demand</vt:lpstr>
      <vt:lpstr>10. Aus Total Demand</vt:lpstr>
      <vt:lpstr>11. Aus Background Data</vt:lpstr>
      <vt:lpstr>_2023_Aus_Population_Growth_Rate</vt:lpstr>
      <vt:lpstr>Aus_2023Census_Pop</vt:lpstr>
      <vt:lpstr>Aus_Domestic</vt:lpstr>
      <vt:lpstr>Aus_Domestic_water_demand_per_person__m3_person_year</vt:lpstr>
      <vt:lpstr>Aus_NonDomestic</vt:lpstr>
      <vt:lpstr>Avg_HouseholdSize</vt:lpstr>
      <vt:lpstr>CensusPop</vt:lpstr>
      <vt:lpstr>Current_Demand</vt:lpstr>
      <vt:lpstr>DomesticDemandperCapita</vt:lpstr>
      <vt:lpstr>DomesticDemandperCapita_L</vt:lpstr>
      <vt:lpstr>Household_Size</vt:lpstr>
      <vt:lpstr>KP_Yield</vt:lpstr>
      <vt:lpstr>Lüderitz_PopulationGrowthRate</vt:lpstr>
      <vt:lpstr>Percent_1_Aus</vt:lpstr>
      <vt:lpstr>Percent_10_Aus</vt:lpstr>
      <vt:lpstr>Percent_2_Aus</vt:lpstr>
      <vt:lpstr>Percent_5_Aus</vt:lpstr>
      <vt:lpstr>RelocationFactor</vt:lpstr>
      <vt:lpstr>Resident__Job_Multiplier_wO_H2_worker</vt:lpstr>
      <vt:lpstr>Resident_Job_Multiplier</vt:lpstr>
      <vt:lpstr>ScenarioStart</vt:lpstr>
      <vt:lpstr>Start_Aus_Scenarios</vt:lpstr>
      <vt:lpstr>Starting_Pop_Aus_Scenarios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Carter, Kaitlyn</dc:creator>
  <cp:keywords/>
  <dc:description/>
  <cp:lastModifiedBy>Carter, Kaitlyn</cp:lastModifiedBy>
  <cp:revision/>
  <dcterms:created xsi:type="dcterms:W3CDTF">2025-08-05T09:29:55Z</dcterms:created>
  <dcterms:modified xsi:type="dcterms:W3CDTF">2025-12-09T07:35:31Z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0x0101000EB31B9D82EE17439D92CD41C64B8A1F</vt:lpwstr>
  </property>
  <property fmtid="{D5CDD505-2E9C-101B-9397-08002B2CF9AE}" pid="3" name="MediaServiceImageTags">
    <vt:lpwstr/>
  </property>
</Properties>
</file>